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" yWindow="4512" windowWidth="23088" windowHeight="4548" firstSheet="5" activeTab="9"/>
  </bookViews>
  <sheets>
    <sheet name="Control Consumo R - 2011" sheetId="3" r:id="rId1"/>
    <sheet name="Control Consumo R - 2012" sheetId="4" r:id="rId2"/>
    <sheet name="Control Consumo R - 2013" sheetId="5" r:id="rId3"/>
    <sheet name="Control Consumo R - 2014" sheetId="6" r:id="rId4"/>
    <sheet name="Control Consumo R - 2015" sheetId="7" r:id="rId5"/>
    <sheet name="Control Consumo R - 2016" sheetId="8" r:id="rId6"/>
    <sheet name="Control Consumo R - 2017" sheetId="9" r:id="rId7"/>
    <sheet name="Control Consumo R - 2018" sheetId="10" r:id="rId8"/>
    <sheet name="Control Consumo R - 2019" sheetId="11" r:id="rId9"/>
    <sheet name="Control Consumo R - 2020" sheetId="12" r:id="rId10"/>
  </sheets>
  <externalReferences>
    <externalReference r:id="rId11"/>
  </externalReferences>
  <calcPr calcId="124519"/>
</workbook>
</file>

<file path=xl/calcChain.xml><?xml version="1.0" encoding="utf-8"?>
<calcChain xmlns="http://schemas.openxmlformats.org/spreadsheetml/2006/main">
  <c r="G47" i="12"/>
  <c r="G49"/>
  <c r="F49"/>
  <c r="Q20"/>
  <c r="R20"/>
  <c r="Q21"/>
  <c r="R21"/>
  <c r="Q22"/>
  <c r="R22"/>
  <c r="R20" i="11"/>
  <c r="R21"/>
  <c r="R22"/>
  <c r="R23"/>
  <c r="Q23"/>
  <c r="Q20"/>
  <c r="Q21"/>
  <c r="D21" i="12" s="1"/>
  <c r="Q22" i="11"/>
  <c r="D20" i="12"/>
  <c r="D22"/>
  <c r="F3"/>
  <c r="F2"/>
  <c r="D6"/>
  <c r="D7"/>
  <c r="E49"/>
  <c r="D48"/>
  <c r="Q6"/>
  <c r="Q7"/>
  <c r="D53"/>
  <c r="D52"/>
  <c r="D51"/>
  <c r="D49"/>
  <c r="D47"/>
  <c r="D46"/>
  <c r="D45"/>
  <c r="D44"/>
  <c r="D43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19"/>
  <c r="D18"/>
  <c r="D17"/>
  <c r="D16"/>
  <c r="D15"/>
  <c r="D14"/>
  <c r="D13"/>
  <c r="D12"/>
  <c r="D11"/>
  <c r="D10"/>
  <c r="D9"/>
  <c r="D8"/>
  <c r="D5"/>
  <c r="D4"/>
  <c r="D3"/>
  <c r="D2"/>
  <c r="D1"/>
  <c r="R53"/>
  <c r="Q53"/>
  <c r="P49"/>
  <c r="M49"/>
  <c r="L49"/>
  <c r="K49"/>
  <c r="I49"/>
  <c r="H49"/>
  <c r="R48"/>
  <c r="Q48"/>
  <c r="O49"/>
  <c r="J49"/>
  <c r="R45"/>
  <c r="Q45"/>
  <c r="N49"/>
  <c r="R44"/>
  <c r="Q44"/>
  <c r="R43"/>
  <c r="Q43"/>
  <c r="P42"/>
  <c r="O42"/>
  <c r="N42"/>
  <c r="M42"/>
  <c r="L42"/>
  <c r="K42"/>
  <c r="J42"/>
  <c r="I42"/>
  <c r="H42"/>
  <c r="G42"/>
  <c r="F42"/>
  <c r="E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P23"/>
  <c r="O23"/>
  <c r="N23"/>
  <c r="M23"/>
  <c r="L23"/>
  <c r="K23"/>
  <c r="J23"/>
  <c r="I23"/>
  <c r="H23"/>
  <c r="G23"/>
  <c r="F23"/>
  <c r="E23"/>
  <c r="R19"/>
  <c r="Q19"/>
  <c r="R18"/>
  <c r="Q18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P8"/>
  <c r="N8"/>
  <c r="L8"/>
  <c r="G8"/>
  <c r="F8"/>
  <c r="R7"/>
  <c r="R6"/>
  <c r="R5"/>
  <c r="Q5"/>
  <c r="Q4"/>
  <c r="R4"/>
  <c r="L51"/>
  <c r="J8"/>
  <c r="R3"/>
  <c r="J51"/>
  <c r="D42" l="1"/>
  <c r="R47"/>
  <c r="G51"/>
  <c r="Q51" s="1"/>
  <c r="Q23"/>
  <c r="R23"/>
  <c r="Q42"/>
  <c r="P51"/>
  <c r="R42"/>
  <c r="N51"/>
  <c r="R49"/>
  <c r="K8"/>
  <c r="K51" s="1"/>
  <c r="O8"/>
  <c r="O51" s="1"/>
  <c r="Q46"/>
  <c r="Q3"/>
  <c r="Q2"/>
  <c r="H8"/>
  <c r="H51" s="1"/>
  <c r="R46"/>
  <c r="Q47"/>
  <c r="Q49" s="1"/>
  <c r="R2"/>
  <c r="E8"/>
  <c r="E51" s="1"/>
  <c r="I8"/>
  <c r="I51" s="1"/>
  <c r="M8"/>
  <c r="M51" s="1"/>
  <c r="P22" i="11"/>
  <c r="P3"/>
  <c r="P2"/>
  <c r="R51" i="12" l="1"/>
  <c r="R8"/>
  <c r="Q8"/>
  <c r="O3" i="11"/>
  <c r="O46"/>
  <c r="O22"/>
  <c r="N4" l="1"/>
  <c r="N22"/>
  <c r="N45"/>
  <c r="M4" l="1"/>
  <c r="M47"/>
  <c r="M2"/>
  <c r="K4" l="1"/>
  <c r="L4"/>
  <c r="R48"/>
  <c r="Q48"/>
  <c r="L49"/>
  <c r="M49"/>
  <c r="N49"/>
  <c r="O49"/>
  <c r="P49"/>
  <c r="K49"/>
  <c r="L51"/>
  <c r="L3"/>
  <c r="L2"/>
  <c r="D20"/>
  <c r="D21"/>
  <c r="D22"/>
  <c r="R49" l="1"/>
  <c r="J49"/>
  <c r="J4"/>
  <c r="I4"/>
  <c r="J3"/>
  <c r="J2"/>
  <c r="J46"/>
  <c r="J47" s="1"/>
  <c r="I2" l="1"/>
  <c r="H2" l="1"/>
  <c r="H4"/>
  <c r="G3" l="1"/>
  <c r="F2" l="1"/>
  <c r="F3"/>
  <c r="E3" l="1"/>
  <c r="E2"/>
  <c r="P3" i="10"/>
  <c r="O3"/>
  <c r="P2"/>
  <c r="Q37" i="11"/>
  <c r="R37"/>
  <c r="Q38"/>
  <c r="R38"/>
  <c r="Q39"/>
  <c r="R39"/>
  <c r="Q40"/>
  <c r="R40"/>
  <c r="Q41"/>
  <c r="R41"/>
  <c r="Q4"/>
  <c r="R4"/>
  <c r="Q5"/>
  <c r="R5"/>
  <c r="R6"/>
  <c r="Q7"/>
  <c r="R7"/>
  <c r="Q14"/>
  <c r="R14"/>
  <c r="Q15"/>
  <c r="R15"/>
  <c r="Q16"/>
  <c r="R16"/>
  <c r="Q17"/>
  <c r="R17"/>
  <c r="D52"/>
  <c r="D1"/>
  <c r="R53"/>
  <c r="I49"/>
  <c r="H49"/>
  <c r="G49"/>
  <c r="F49"/>
  <c r="E49"/>
  <c r="R47"/>
  <c r="Q47"/>
  <c r="R46"/>
  <c r="Q46"/>
  <c r="R45"/>
  <c r="Q45"/>
  <c r="R44"/>
  <c r="Q44"/>
  <c r="R43"/>
  <c r="Q43"/>
  <c r="P42"/>
  <c r="O42"/>
  <c r="N42"/>
  <c r="M42"/>
  <c r="L42"/>
  <c r="K42"/>
  <c r="J42"/>
  <c r="I42"/>
  <c r="H42"/>
  <c r="G42"/>
  <c r="F42"/>
  <c r="E42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P23"/>
  <c r="O23"/>
  <c r="N23"/>
  <c r="M23"/>
  <c r="L23"/>
  <c r="K23"/>
  <c r="J23"/>
  <c r="I23"/>
  <c r="H23"/>
  <c r="G23"/>
  <c r="F23"/>
  <c r="E23"/>
  <c r="R19"/>
  <c r="Q19"/>
  <c r="R18"/>
  <c r="Q18"/>
  <c r="R13"/>
  <c r="Q13"/>
  <c r="R12"/>
  <c r="Q12"/>
  <c r="R11"/>
  <c r="Q11"/>
  <c r="R10"/>
  <c r="Q10"/>
  <c r="R9"/>
  <c r="Q9"/>
  <c r="P8"/>
  <c r="O8"/>
  <c r="N8"/>
  <c r="K8"/>
  <c r="J8"/>
  <c r="R2"/>
  <c r="Q2"/>
  <c r="P51" l="1"/>
  <c r="O51"/>
  <c r="N51"/>
  <c r="Q49"/>
  <c r="K51"/>
  <c r="J51"/>
  <c r="Q42"/>
  <c r="R42"/>
  <c r="Q3"/>
  <c r="Q8" s="1"/>
  <c r="F8"/>
  <c r="F51" s="1"/>
  <c r="H8"/>
  <c r="H51" s="1"/>
  <c r="L8"/>
  <c r="R3"/>
  <c r="G8"/>
  <c r="G51" s="1"/>
  <c r="E8"/>
  <c r="E51" s="1"/>
  <c r="I8"/>
  <c r="I51" s="1"/>
  <c r="M8"/>
  <c r="M51" s="1"/>
  <c r="Q53"/>
  <c r="R51" l="1"/>
  <c r="Q51"/>
  <c r="R8"/>
  <c r="N3" i="10"/>
  <c r="Q18" l="1"/>
  <c r="D18" i="11" s="1"/>
  <c r="R18" i="10"/>
  <c r="Q19"/>
  <c r="R19"/>
  <c r="M4"/>
  <c r="D23" i="11" l="1"/>
  <c r="D19"/>
  <c r="M3" i="10"/>
  <c r="M45"/>
  <c r="I3" l="1"/>
  <c r="L3"/>
  <c r="L2" l="1"/>
  <c r="L53"/>
  <c r="K23" l="1"/>
  <c r="J3" l="1"/>
  <c r="J2" l="1"/>
  <c r="H3" l="1"/>
  <c r="G3" l="1"/>
  <c r="F3" l="1"/>
  <c r="F2"/>
  <c r="E3" l="1"/>
  <c r="Q41" l="1"/>
  <c r="D41" i="11" s="1"/>
  <c r="R41" i="10"/>
  <c r="D53"/>
  <c r="D52"/>
  <c r="D51"/>
  <c r="D49"/>
  <c r="D49" i="11" s="1"/>
  <c r="D47" i="10"/>
  <c r="D46"/>
  <c r="D45"/>
  <c r="D44"/>
  <c r="D43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17"/>
  <c r="D16"/>
  <c r="D15"/>
  <c r="D14"/>
  <c r="D13"/>
  <c r="D12"/>
  <c r="D11"/>
  <c r="D10"/>
  <c r="D9"/>
  <c r="D6"/>
  <c r="D5"/>
  <c r="D4"/>
  <c r="D3"/>
  <c r="D2"/>
  <c r="D1"/>
  <c r="E42"/>
  <c r="F42"/>
  <c r="G42"/>
  <c r="H42"/>
  <c r="I42"/>
  <c r="J42"/>
  <c r="K42"/>
  <c r="L42"/>
  <c r="M42"/>
  <c r="N42"/>
  <c r="O42"/>
  <c r="P42"/>
  <c r="R53"/>
  <c r="Q53"/>
  <c r="D53" i="11" s="1"/>
  <c r="P49" i="10"/>
  <c r="O49"/>
  <c r="N49"/>
  <c r="M49"/>
  <c r="L49"/>
  <c r="K49"/>
  <c r="J49"/>
  <c r="I49"/>
  <c r="H49"/>
  <c r="G49"/>
  <c r="F49"/>
  <c r="E49"/>
  <c r="R47"/>
  <c r="Q47"/>
  <c r="D47" i="11" s="1"/>
  <c r="R46" i="10"/>
  <c r="Q46"/>
  <c r="R45"/>
  <c r="Q45"/>
  <c r="D45" i="11" s="1"/>
  <c r="R44" i="10"/>
  <c r="Q44"/>
  <c r="D44" i="11" s="1"/>
  <c r="R43" i="10"/>
  <c r="Q43"/>
  <c r="D43" i="11" s="1"/>
  <c r="R40" i="10"/>
  <c r="Q40"/>
  <c r="D40" i="11" s="1"/>
  <c r="R39" i="10"/>
  <c r="Q39"/>
  <c r="D39" i="11" s="1"/>
  <c r="R38" i="10"/>
  <c r="Q38"/>
  <c r="D38" i="11" s="1"/>
  <c r="R37" i="10"/>
  <c r="Q37"/>
  <c r="D37" i="11" s="1"/>
  <c r="R36" i="10"/>
  <c r="Q36"/>
  <c r="D36" i="11" s="1"/>
  <c r="R35" i="10"/>
  <c r="Q35"/>
  <c r="D35" i="11" s="1"/>
  <c r="R34" i="10"/>
  <c r="Q34"/>
  <c r="D34" i="11" s="1"/>
  <c r="R33" i="10"/>
  <c r="Q33"/>
  <c r="D33" i="11" s="1"/>
  <c r="R32" i="10"/>
  <c r="Q32"/>
  <c r="D32" i="11" s="1"/>
  <c r="R31" i="10"/>
  <c r="Q31"/>
  <c r="D31" i="11" s="1"/>
  <c r="R30" i="10"/>
  <c r="Q30"/>
  <c r="D30" i="11" s="1"/>
  <c r="R29" i="10"/>
  <c r="Q29"/>
  <c r="D29" i="11" s="1"/>
  <c r="R28" i="10"/>
  <c r="Q28"/>
  <c r="D28" i="11" s="1"/>
  <c r="R27" i="10"/>
  <c r="Q27"/>
  <c r="D27" i="11" s="1"/>
  <c r="R26" i="10"/>
  <c r="Q26"/>
  <c r="D26" i="11" s="1"/>
  <c r="R25" i="10"/>
  <c r="Q25"/>
  <c r="D25" i="11" s="1"/>
  <c r="R24" i="10"/>
  <c r="Q24"/>
  <c r="D24" i="11" s="1"/>
  <c r="P23" i="10"/>
  <c r="O23"/>
  <c r="N23"/>
  <c r="M23"/>
  <c r="L23"/>
  <c r="J23"/>
  <c r="I23"/>
  <c r="H23"/>
  <c r="G23"/>
  <c r="F23"/>
  <c r="E23"/>
  <c r="R17"/>
  <c r="Q17"/>
  <c r="D17" i="11" s="1"/>
  <c r="Q16" i="10"/>
  <c r="D16" i="11" s="1"/>
  <c r="R15" i="10"/>
  <c r="Q15"/>
  <c r="D15" i="11" s="1"/>
  <c r="R14" i="10"/>
  <c r="Q14"/>
  <c r="D14" i="11" s="1"/>
  <c r="R13" i="10"/>
  <c r="Q13"/>
  <c r="D13" i="11" s="1"/>
  <c r="R12" i="10"/>
  <c r="Q12"/>
  <c r="D12" i="11" s="1"/>
  <c r="R11" i="10"/>
  <c r="Q11"/>
  <c r="D11" i="11" s="1"/>
  <c r="R10" i="10"/>
  <c r="Q10"/>
  <c r="D10" i="11" s="1"/>
  <c r="R9" i="10"/>
  <c r="Q9"/>
  <c r="D9" i="11" s="1"/>
  <c r="P8" i="10"/>
  <c r="O8"/>
  <c r="R7"/>
  <c r="R6"/>
  <c r="R5"/>
  <c r="Q5"/>
  <c r="D5" i="11" s="1"/>
  <c r="R4" i="10"/>
  <c r="Q4"/>
  <c r="D4" i="11" s="1"/>
  <c r="L8" i="10"/>
  <c r="K8"/>
  <c r="H8"/>
  <c r="R3"/>
  <c r="Q3"/>
  <c r="D3" i="11" s="1"/>
  <c r="J8" i="10"/>
  <c r="R2"/>
  <c r="P3" i="9"/>
  <c r="P2"/>
  <c r="D42" i="10" l="1"/>
  <c r="D46" i="11"/>
  <c r="D42"/>
  <c r="P51" i="10"/>
  <c r="J51"/>
  <c r="R49"/>
  <c r="Q42"/>
  <c r="R42"/>
  <c r="O51"/>
  <c r="L51"/>
  <c r="Q49"/>
  <c r="Q23"/>
  <c r="R23"/>
  <c r="H51"/>
  <c r="G8"/>
  <c r="G51" s="1"/>
  <c r="R16"/>
  <c r="E8"/>
  <c r="E51" s="1"/>
  <c r="I8"/>
  <c r="I51" s="1"/>
  <c r="M8"/>
  <c r="M51" s="1"/>
  <c r="Q2"/>
  <c r="F8"/>
  <c r="F51" s="1"/>
  <c r="N8"/>
  <c r="N51" s="1"/>
  <c r="N2" i="9"/>
  <c r="N4"/>
  <c r="Q8" i="10" l="1"/>
  <c r="D8" i="11" s="1"/>
  <c r="D2"/>
  <c r="K51" i="10"/>
  <c r="R51" s="1"/>
  <c r="R8"/>
  <c r="M2" i="9"/>
  <c r="Q51" i="10" l="1"/>
  <c r="D51" i="11" s="1"/>
  <c r="L3" i="9"/>
  <c r="L2"/>
  <c r="K3" l="1"/>
  <c r="J3"/>
  <c r="K16"/>
  <c r="J2" l="1"/>
  <c r="I3" l="1"/>
  <c r="H3" l="1"/>
  <c r="G3" l="1"/>
  <c r="F3" l="1"/>
  <c r="F2"/>
  <c r="E3" l="1"/>
  <c r="E2"/>
  <c r="Q39"/>
  <c r="R39"/>
  <c r="Q40"/>
  <c r="R40"/>
  <c r="Q41"/>
  <c r="R41"/>
  <c r="Q42"/>
  <c r="R42"/>
  <c r="Q34"/>
  <c r="R34"/>
  <c r="Q35"/>
  <c r="R35"/>
  <c r="Q36"/>
  <c r="R36"/>
  <c r="Q16"/>
  <c r="R16"/>
  <c r="Q17"/>
  <c r="R17"/>
  <c r="Q16" i="8"/>
  <c r="R16"/>
  <c r="Q40"/>
  <c r="D40" i="9" s="1"/>
  <c r="R40" i="8"/>
  <c r="Q35"/>
  <c r="R35"/>
  <c r="Q36"/>
  <c r="R36"/>
  <c r="D35" i="9"/>
  <c r="D36"/>
  <c r="D46"/>
  <c r="D16"/>
  <c r="D1"/>
  <c r="R47"/>
  <c r="Q47"/>
  <c r="P43"/>
  <c r="O43"/>
  <c r="N43"/>
  <c r="M43"/>
  <c r="L43"/>
  <c r="K43"/>
  <c r="J43"/>
  <c r="I43"/>
  <c r="H43"/>
  <c r="G43"/>
  <c r="F43"/>
  <c r="E43"/>
  <c r="R38"/>
  <c r="Q38"/>
  <c r="P37"/>
  <c r="O37"/>
  <c r="N37"/>
  <c r="M37"/>
  <c r="L37"/>
  <c r="K37"/>
  <c r="J37"/>
  <c r="I37"/>
  <c r="H37"/>
  <c r="G37"/>
  <c r="F37"/>
  <c r="E37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P19"/>
  <c r="O19"/>
  <c r="N19"/>
  <c r="M19"/>
  <c r="L19"/>
  <c r="K19"/>
  <c r="J19"/>
  <c r="I19"/>
  <c r="H19"/>
  <c r="G19"/>
  <c r="F19"/>
  <c r="E19"/>
  <c r="R18"/>
  <c r="Q18"/>
  <c r="R15"/>
  <c r="Q15"/>
  <c r="R14"/>
  <c r="Q14"/>
  <c r="R13"/>
  <c r="Q13"/>
  <c r="R12"/>
  <c r="Q12"/>
  <c r="R11"/>
  <c r="Q11"/>
  <c r="R10"/>
  <c r="Q10"/>
  <c r="R9"/>
  <c r="Q9"/>
  <c r="N8"/>
  <c r="M8"/>
  <c r="L8"/>
  <c r="I8"/>
  <c r="H8"/>
  <c r="F8"/>
  <c r="R7"/>
  <c r="R6"/>
  <c r="R5"/>
  <c r="Q5"/>
  <c r="R4"/>
  <c r="Q4"/>
  <c r="O8"/>
  <c r="K8"/>
  <c r="J8"/>
  <c r="G8"/>
  <c r="E8"/>
  <c r="L45" l="1"/>
  <c r="H45"/>
  <c r="Q43"/>
  <c r="R43"/>
  <c r="R19"/>
  <c r="R37"/>
  <c r="Q19"/>
  <c r="Q37"/>
  <c r="M45"/>
  <c r="J45"/>
  <c r="N45"/>
  <c r="I45"/>
  <c r="F45"/>
  <c r="P8"/>
  <c r="P45" s="1"/>
  <c r="E45"/>
  <c r="Q2"/>
  <c r="R3"/>
  <c r="R2"/>
  <c r="G45"/>
  <c r="K45"/>
  <c r="O45"/>
  <c r="Q3"/>
  <c r="P3" i="8"/>
  <c r="P2"/>
  <c r="R8" i="9" l="1"/>
  <c r="R45"/>
  <c r="Q45"/>
  <c r="Q8"/>
  <c r="D8" i="10" s="1"/>
  <c r="O3" i="8"/>
  <c r="E37" l="1"/>
  <c r="F37"/>
  <c r="G37"/>
  <c r="H37"/>
  <c r="I37"/>
  <c r="J37"/>
  <c r="K37"/>
  <c r="L37"/>
  <c r="M37"/>
  <c r="O37"/>
  <c r="P37"/>
  <c r="N37"/>
  <c r="Q4" l="1"/>
  <c r="D4" i="9" s="1"/>
  <c r="R4" i="8"/>
  <c r="Q5"/>
  <c r="D5" i="9" s="1"/>
  <c r="R5" i="8"/>
  <c r="Q6"/>
  <c r="D6" i="9" s="1"/>
  <c r="R6" i="8"/>
  <c r="Q7"/>
  <c r="R7"/>
  <c r="L3"/>
  <c r="L2"/>
  <c r="K3" l="1"/>
  <c r="E3" l="1"/>
  <c r="J3"/>
  <c r="G3"/>
  <c r="I3"/>
  <c r="Q16" i="7" l="1"/>
  <c r="R16"/>
  <c r="Q17"/>
  <c r="R17"/>
  <c r="Q18"/>
  <c r="R18"/>
  <c r="D16" i="8"/>
  <c r="D17"/>
  <c r="D18"/>
  <c r="Q38" i="7" l="1"/>
  <c r="Q47" i="8"/>
  <c r="D46"/>
  <c r="D44"/>
  <c r="D40"/>
  <c r="D1"/>
  <c r="R47"/>
  <c r="P43"/>
  <c r="O43"/>
  <c r="N43"/>
  <c r="M43"/>
  <c r="L43"/>
  <c r="K43"/>
  <c r="J43"/>
  <c r="I43"/>
  <c r="H43"/>
  <c r="G43"/>
  <c r="F43"/>
  <c r="E43"/>
  <c r="R42"/>
  <c r="Q42"/>
  <c r="D42" i="9" s="1"/>
  <c r="R41" i="8"/>
  <c r="Q41"/>
  <c r="D41" i="9" s="1"/>
  <c r="R39" i="8"/>
  <c r="Q39"/>
  <c r="D39" i="9" s="1"/>
  <c r="R38" i="8"/>
  <c r="Q38"/>
  <c r="D38" i="9" s="1"/>
  <c r="R34" i="8"/>
  <c r="Q34"/>
  <c r="D34" i="9" s="1"/>
  <c r="R33" i="8"/>
  <c r="Q33"/>
  <c r="D33" i="9" s="1"/>
  <c r="R32" i="8"/>
  <c r="Q32"/>
  <c r="D32" i="9" s="1"/>
  <c r="R31" i="8"/>
  <c r="Q31"/>
  <c r="D31" i="9" s="1"/>
  <c r="R30" i="8"/>
  <c r="Q30"/>
  <c r="D30" i="9" s="1"/>
  <c r="R29" i="8"/>
  <c r="Q29"/>
  <c r="D29" i="9" s="1"/>
  <c r="R28" i="8"/>
  <c r="Q28"/>
  <c r="D28" i="9" s="1"/>
  <c r="R27" i="8"/>
  <c r="Q27"/>
  <c r="D27" i="9" s="1"/>
  <c r="R26" i="8"/>
  <c r="Q26"/>
  <c r="D26" i="9" s="1"/>
  <c r="R25" i="8"/>
  <c r="Q25"/>
  <c r="D25" i="9" s="1"/>
  <c r="R24" i="8"/>
  <c r="Q24"/>
  <c r="D24" i="9" s="1"/>
  <c r="R23" i="8"/>
  <c r="Q23"/>
  <c r="D23" i="9" s="1"/>
  <c r="R22" i="8"/>
  <c r="Q22"/>
  <c r="D22" i="9" s="1"/>
  <c r="R21" i="8"/>
  <c r="Q21"/>
  <c r="D21" i="9" s="1"/>
  <c r="R20" i="8"/>
  <c r="Q20"/>
  <c r="D20" i="9" s="1"/>
  <c r="P19" i="8"/>
  <c r="O19"/>
  <c r="N19"/>
  <c r="M19"/>
  <c r="L19"/>
  <c r="K19"/>
  <c r="J19"/>
  <c r="I19"/>
  <c r="H19"/>
  <c r="G19"/>
  <c r="F19"/>
  <c r="E19"/>
  <c r="R18"/>
  <c r="Q18"/>
  <c r="D18" i="9" s="1"/>
  <c r="R17" i="8"/>
  <c r="Q17"/>
  <c r="D17" i="9" s="1"/>
  <c r="R15" i="8"/>
  <c r="Q15"/>
  <c r="D15" i="9" s="1"/>
  <c r="R14" i="8"/>
  <c r="Q14"/>
  <c r="D14" i="9" s="1"/>
  <c r="R13" i="8"/>
  <c r="Q13"/>
  <c r="D13" i="9" s="1"/>
  <c r="R12" i="8"/>
  <c r="Q12"/>
  <c r="D12" i="9" s="1"/>
  <c r="R11" i="8"/>
  <c r="Q11"/>
  <c r="D11" i="9" s="1"/>
  <c r="R10" i="8"/>
  <c r="Q10"/>
  <c r="D10" i="9" s="1"/>
  <c r="R9" i="8"/>
  <c r="Q9"/>
  <c r="D9" i="9" s="1"/>
  <c r="P8" i="8"/>
  <c r="O8"/>
  <c r="N8"/>
  <c r="M8"/>
  <c r="L8"/>
  <c r="K8"/>
  <c r="J8"/>
  <c r="I8"/>
  <c r="H8"/>
  <c r="G8"/>
  <c r="F8"/>
  <c r="E8"/>
  <c r="R3"/>
  <c r="Q3"/>
  <c r="D3" i="9" s="1"/>
  <c r="R2" i="8"/>
  <c r="Q2"/>
  <c r="D2" i="9" s="1"/>
  <c r="D37" l="1"/>
  <c r="P45" i="8"/>
  <c r="Q37"/>
  <c r="L45"/>
  <c r="M45"/>
  <c r="I45"/>
  <c r="H45"/>
  <c r="Q19"/>
  <c r="D19" i="9" s="1"/>
  <c r="Q43" i="8"/>
  <c r="D43" i="9" s="1"/>
  <c r="R19" i="8"/>
  <c r="E45"/>
  <c r="R43"/>
  <c r="R37"/>
  <c r="F45"/>
  <c r="J45"/>
  <c r="N45"/>
  <c r="G45"/>
  <c r="K45"/>
  <c r="O45"/>
  <c r="Q8"/>
  <c r="D8" i="9" s="1"/>
  <c r="R8" i="8"/>
  <c r="F8" i="6"/>
  <c r="Q43"/>
  <c r="Q45" i="8" l="1"/>
  <c r="R45"/>
  <c r="N45" i="7"/>
  <c r="D34"/>
  <c r="Q34"/>
  <c r="D34" i="8" s="1"/>
  <c r="R34" i="7"/>
  <c r="Q33"/>
  <c r="D33" i="8" s="1"/>
  <c r="R33" i="7"/>
  <c r="D45" i="9" l="1"/>
  <c r="D47"/>
  <c r="I45" i="7"/>
  <c r="Q45" s="1"/>
  <c r="D47" i="8" s="1"/>
  <c r="Q6" i="7" l="1"/>
  <c r="D6" i="8" s="1"/>
  <c r="P2" i="6" l="1"/>
  <c r="P4"/>
  <c r="P3"/>
  <c r="P31" l="1"/>
  <c r="E41" i="7"/>
  <c r="F41"/>
  <c r="D44"/>
  <c r="D45"/>
  <c r="D42"/>
  <c r="D1"/>
  <c r="R45"/>
  <c r="T41"/>
  <c r="P41"/>
  <c r="O41"/>
  <c r="N41"/>
  <c r="M41"/>
  <c r="L41"/>
  <c r="K41"/>
  <c r="J41"/>
  <c r="I41"/>
  <c r="H41"/>
  <c r="G41"/>
  <c r="R40"/>
  <c r="Q40"/>
  <c r="D42" i="8" s="1"/>
  <c r="R39" i="7"/>
  <c r="Q39"/>
  <c r="D41" i="8" s="1"/>
  <c r="R37" i="7"/>
  <c r="Q37"/>
  <c r="D39" i="8" s="1"/>
  <c r="R36" i="7"/>
  <c r="Q36"/>
  <c r="D38" i="8" s="1"/>
  <c r="P35" i="7"/>
  <c r="O35"/>
  <c r="N35"/>
  <c r="L35"/>
  <c r="K35"/>
  <c r="J35"/>
  <c r="I35"/>
  <c r="H35"/>
  <c r="G35"/>
  <c r="F35"/>
  <c r="E35"/>
  <c r="R32"/>
  <c r="Q32"/>
  <c r="D32" i="8" s="1"/>
  <c r="R31" i="7"/>
  <c r="Q31"/>
  <c r="D31" i="8" s="1"/>
  <c r="R30" i="7"/>
  <c r="Q30"/>
  <c r="D30" i="8" s="1"/>
  <c r="R29" i="7"/>
  <c r="Q29"/>
  <c r="D29" i="8" s="1"/>
  <c r="R28" i="7"/>
  <c r="Q28"/>
  <c r="D28" i="8" s="1"/>
  <c r="R26" i="7"/>
  <c r="Q26"/>
  <c r="D26" i="8" s="1"/>
  <c r="R25" i="7"/>
  <c r="Q25"/>
  <c r="D25" i="8" s="1"/>
  <c r="R24" i="7"/>
  <c r="Q24"/>
  <c r="D24" i="8" s="1"/>
  <c r="R23" i="7"/>
  <c r="Q23"/>
  <c r="D23" i="8" s="1"/>
  <c r="R22" i="7"/>
  <c r="Q22"/>
  <c r="D22" i="8" s="1"/>
  <c r="R21" i="7"/>
  <c r="Q21"/>
  <c r="D21" i="8" s="1"/>
  <c r="R20" i="7"/>
  <c r="Q20"/>
  <c r="D20" i="8" s="1"/>
  <c r="T19" i="7"/>
  <c r="P19"/>
  <c r="O19"/>
  <c r="N19"/>
  <c r="M19"/>
  <c r="Q27" s="1"/>
  <c r="D27" i="8" s="1"/>
  <c r="L19" i="7"/>
  <c r="K19"/>
  <c r="J19"/>
  <c r="I19"/>
  <c r="H19"/>
  <c r="G19"/>
  <c r="F19"/>
  <c r="E19"/>
  <c r="R15"/>
  <c r="Q15"/>
  <c r="D15" i="8" s="1"/>
  <c r="R14" i="7"/>
  <c r="Q14"/>
  <c r="D14" i="8" s="1"/>
  <c r="R13" i="7"/>
  <c r="Q13"/>
  <c r="D13" i="8" s="1"/>
  <c r="R12" i="7"/>
  <c r="Q12"/>
  <c r="D12" i="8" s="1"/>
  <c r="R11" i="7"/>
  <c r="Q11"/>
  <c r="D11" i="8" s="1"/>
  <c r="R10" i="7"/>
  <c r="Q10"/>
  <c r="D10" i="8" s="1"/>
  <c r="R9" i="7"/>
  <c r="Q9"/>
  <c r="D9" i="8" s="1"/>
  <c r="P8" i="7"/>
  <c r="O8"/>
  <c r="N8"/>
  <c r="M8"/>
  <c r="L8"/>
  <c r="K8"/>
  <c r="J8"/>
  <c r="I8"/>
  <c r="H8"/>
  <c r="G8"/>
  <c r="F8"/>
  <c r="E8"/>
  <c r="R7"/>
  <c r="Q7"/>
  <c r="R6"/>
  <c r="R4"/>
  <c r="Q4"/>
  <c r="D4" i="8" s="1"/>
  <c r="R3" i="7"/>
  <c r="Q3"/>
  <c r="D3" i="8" s="1"/>
  <c r="R2" i="7"/>
  <c r="Q2"/>
  <c r="D2" i="8" s="1"/>
  <c r="D37" l="1"/>
  <c r="O43" i="7"/>
  <c r="R27"/>
  <c r="M35"/>
  <c r="M43" s="1"/>
  <c r="T35"/>
  <c r="K43"/>
  <c r="G43"/>
  <c r="R19"/>
  <c r="Q41"/>
  <c r="D43" i="8" s="1"/>
  <c r="Q35" i="7"/>
  <c r="Q19"/>
  <c r="D19" i="8" s="1"/>
  <c r="R41" i="7"/>
  <c r="H43"/>
  <c r="L43"/>
  <c r="P43"/>
  <c r="I43"/>
  <c r="F43"/>
  <c r="J43"/>
  <c r="N43"/>
  <c r="Q8"/>
  <c r="D8" i="8" s="1"/>
  <c r="R8" i="7"/>
  <c r="E43"/>
  <c r="J8" i="6"/>
  <c r="J18"/>
  <c r="J34"/>
  <c r="J39"/>
  <c r="Q43" i="7" l="1"/>
  <c r="D45" i="8" s="1"/>
  <c r="R35" i="7"/>
  <c r="R43"/>
  <c r="G34" i="6"/>
  <c r="H34"/>
  <c r="I34"/>
  <c r="K34"/>
  <c r="L34"/>
  <c r="M34"/>
  <c r="N34"/>
  <c r="O34"/>
  <c r="P34"/>
  <c r="E34"/>
  <c r="F34"/>
  <c r="G8"/>
  <c r="G18"/>
  <c r="G39"/>
  <c r="R31"/>
  <c r="Q31"/>
  <c r="D32" i="7" s="1"/>
  <c r="R30" i="6"/>
  <c r="Q30"/>
  <c r="D31" i="7" s="1"/>
  <c r="E39" i="6" l="1"/>
  <c r="E18"/>
  <c r="D42"/>
  <c r="D40"/>
  <c r="D1"/>
  <c r="R43"/>
  <c r="T39"/>
  <c r="P39"/>
  <c r="O39"/>
  <c r="N39"/>
  <c r="M39"/>
  <c r="L39"/>
  <c r="K39"/>
  <c r="I39"/>
  <c r="H39"/>
  <c r="F39"/>
  <c r="R38"/>
  <c r="Q38"/>
  <c r="D40" i="7" s="1"/>
  <c r="R37" i="6"/>
  <c r="Q37"/>
  <c r="D39" i="7" s="1"/>
  <c r="R36" i="6"/>
  <c r="Q36"/>
  <c r="D37" i="7" s="1"/>
  <c r="R35" i="6"/>
  <c r="Q35"/>
  <c r="D36" i="7" s="1"/>
  <c r="T34" i="6"/>
  <c r="R32"/>
  <c r="Q32"/>
  <c r="D33" i="7" s="1"/>
  <c r="R29" i="6"/>
  <c r="Q29"/>
  <c r="D30" i="7" s="1"/>
  <c r="R28" i="6"/>
  <c r="Q28"/>
  <c r="D29" i="7" s="1"/>
  <c r="R27" i="6"/>
  <c r="Q27"/>
  <c r="D28" i="7" s="1"/>
  <c r="R26" i="6"/>
  <c r="Q26"/>
  <c r="D27" i="7" s="1"/>
  <c r="R25" i="6"/>
  <c r="Q25"/>
  <c r="D26" i="7" s="1"/>
  <c r="R24" i="6"/>
  <c r="Q24"/>
  <c r="D25" i="7" s="1"/>
  <c r="R23" i="6"/>
  <c r="Q23"/>
  <c r="D24" i="7" s="1"/>
  <c r="R22" i="6"/>
  <c r="Q22"/>
  <c r="D23" i="7" s="1"/>
  <c r="R21" i="6"/>
  <c r="Q21"/>
  <c r="D22" i="7" s="1"/>
  <c r="R20" i="6"/>
  <c r="Q20"/>
  <c r="D21" i="7" s="1"/>
  <c r="R19" i="6"/>
  <c r="Q19"/>
  <c r="D20" i="7" s="1"/>
  <c r="D35" s="1"/>
  <c r="T18" i="6"/>
  <c r="P18"/>
  <c r="O18"/>
  <c r="N18"/>
  <c r="M18"/>
  <c r="L18"/>
  <c r="K18"/>
  <c r="I18"/>
  <c r="H18"/>
  <c r="F18"/>
  <c r="R17"/>
  <c r="Q17"/>
  <c r="R16"/>
  <c r="Q16"/>
  <c r="D17" i="7" s="1"/>
  <c r="R15" i="6"/>
  <c r="Q15"/>
  <c r="R14"/>
  <c r="Q14"/>
  <c r="D14" i="7" s="1"/>
  <c r="R13" i="6"/>
  <c r="Q13"/>
  <c r="D13" i="7" s="1"/>
  <c r="R12" i="6"/>
  <c r="Q12"/>
  <c r="D12" i="7" s="1"/>
  <c r="R11" i="6"/>
  <c r="Q11"/>
  <c r="D11" i="7" s="1"/>
  <c r="R10" i="6"/>
  <c r="Q10"/>
  <c r="D10" i="7" s="1"/>
  <c r="R9" i="6"/>
  <c r="Q9"/>
  <c r="D9" i="7" s="1"/>
  <c r="O8" i="6"/>
  <c r="N8"/>
  <c r="M8"/>
  <c r="L8"/>
  <c r="K8"/>
  <c r="I8"/>
  <c r="H8"/>
  <c r="E8"/>
  <c r="R7"/>
  <c r="Q7"/>
  <c r="D7" i="7" s="1"/>
  <c r="R6" i="6"/>
  <c r="Q6"/>
  <c r="D6" i="7" s="1"/>
  <c r="R3" i="6"/>
  <c r="Q3"/>
  <c r="D3" i="7" s="1"/>
  <c r="R2" i="6"/>
  <c r="Q2"/>
  <c r="D2" i="7" s="1"/>
  <c r="D16" l="1"/>
  <c r="D15"/>
  <c r="O41" i="6"/>
  <c r="K41"/>
  <c r="Q39"/>
  <c r="D41" i="7" s="1"/>
  <c r="Q34" i="6"/>
  <c r="Q18"/>
  <c r="D19" i="7" s="1"/>
  <c r="R18" i="6"/>
  <c r="G41"/>
  <c r="H41"/>
  <c r="L41"/>
  <c r="E41"/>
  <c r="I41"/>
  <c r="M41"/>
  <c r="J41"/>
  <c r="N41"/>
  <c r="R34"/>
  <c r="R39"/>
  <c r="F41"/>
  <c r="L40" i="5"/>
  <c r="J40"/>
  <c r="K40"/>
  <c r="Q30"/>
  <c r="R30"/>
  <c r="R2"/>
  <c r="T31"/>
  <c r="D39"/>
  <c r="D1"/>
  <c r="P36"/>
  <c r="O36"/>
  <c r="N36"/>
  <c r="M36"/>
  <c r="L36"/>
  <c r="J36"/>
  <c r="I36"/>
  <c r="H36"/>
  <c r="G36"/>
  <c r="F36"/>
  <c r="E36"/>
  <c r="Q35"/>
  <c r="D38" i="6" s="1"/>
  <c r="K36" i="5"/>
  <c r="T36"/>
  <c r="R34"/>
  <c r="Q34"/>
  <c r="D37" i="6" s="1"/>
  <c r="R33" i="5"/>
  <c r="Q33"/>
  <c r="D36" i="6" s="1"/>
  <c r="R32" i="5"/>
  <c r="Q32"/>
  <c r="D35" i="6" s="1"/>
  <c r="P31" i="5"/>
  <c r="O31"/>
  <c r="N31"/>
  <c r="M31"/>
  <c r="L31"/>
  <c r="K31"/>
  <c r="J31"/>
  <c r="I31"/>
  <c r="H31"/>
  <c r="G31"/>
  <c r="F31"/>
  <c r="E31"/>
  <c r="R29"/>
  <c r="Q29"/>
  <c r="D31" i="6" s="1"/>
  <c r="R28" i="5"/>
  <c r="Q28"/>
  <c r="R27"/>
  <c r="R26"/>
  <c r="Q26"/>
  <c r="D27" i="6" s="1"/>
  <c r="R25" i="5"/>
  <c r="Q25"/>
  <c r="D26" i="6" s="1"/>
  <c r="R24" i="5"/>
  <c r="Q24"/>
  <c r="D25" i="6" s="1"/>
  <c r="R23" i="5"/>
  <c r="Q23"/>
  <c r="D24" i="6" s="1"/>
  <c r="R22" i="5"/>
  <c r="Q22"/>
  <c r="D23" i="6" s="1"/>
  <c r="R21" i="5"/>
  <c r="Q21"/>
  <c r="D22" i="6" s="1"/>
  <c r="R20" i="5"/>
  <c r="Q20"/>
  <c r="D21" i="6" s="1"/>
  <c r="R19" i="5"/>
  <c r="Q19"/>
  <c r="D20" i="6" s="1"/>
  <c r="R18" i="5"/>
  <c r="Q18"/>
  <c r="D19" i="6" s="1"/>
  <c r="T17" i="5"/>
  <c r="P17"/>
  <c r="O17"/>
  <c r="N17"/>
  <c r="M17"/>
  <c r="L17"/>
  <c r="K17"/>
  <c r="J17"/>
  <c r="I17"/>
  <c r="H17"/>
  <c r="G17"/>
  <c r="F17"/>
  <c r="E17"/>
  <c r="R16"/>
  <c r="Q16"/>
  <c r="D17" i="6" s="1"/>
  <c r="R15" i="5"/>
  <c r="Q15"/>
  <c r="D16" i="6" s="1"/>
  <c r="R14" i="5"/>
  <c r="Q14"/>
  <c r="D15" i="6" s="1"/>
  <c r="R13" i="5"/>
  <c r="Q13"/>
  <c r="D14" i="6" s="1"/>
  <c r="R12" i="5"/>
  <c r="Q12"/>
  <c r="D13" i="6" s="1"/>
  <c r="R11" i="5"/>
  <c r="Q11"/>
  <c r="D12" i="6" s="1"/>
  <c r="R10" i="5"/>
  <c r="Q10"/>
  <c r="D11" i="6" s="1"/>
  <c r="R9" i="5"/>
  <c r="Q9"/>
  <c r="D10" i="6" s="1"/>
  <c r="R8" i="5"/>
  <c r="Q8"/>
  <c r="D9" i="6" s="1"/>
  <c r="P7" i="5"/>
  <c r="O7"/>
  <c r="N7"/>
  <c r="M7"/>
  <c r="L7"/>
  <c r="K7"/>
  <c r="J7"/>
  <c r="H7"/>
  <c r="G7"/>
  <c r="F7"/>
  <c r="E7"/>
  <c r="R6"/>
  <c r="Q6"/>
  <c r="D7" i="6" s="1"/>
  <c r="R5" i="5"/>
  <c r="Q5"/>
  <c r="D6" i="6" s="1"/>
  <c r="R4" i="5"/>
  <c r="Q4"/>
  <c r="D4" i="6" s="1"/>
  <c r="R3" i="5"/>
  <c r="Q3"/>
  <c r="D3" i="6" s="1"/>
  <c r="Q2" i="5"/>
  <c r="D2" i="6" s="1"/>
  <c r="Q28" i="4"/>
  <c r="P28"/>
  <c r="D28" i="5" s="1"/>
  <c r="H34" i="4"/>
  <c r="I34"/>
  <c r="J34"/>
  <c r="C34"/>
  <c r="Q15"/>
  <c r="P15"/>
  <c r="D15" i="5" s="1"/>
  <c r="C1" i="4"/>
  <c r="D30" i="6" l="1"/>
  <c r="D29"/>
  <c r="Q40" i="5"/>
  <c r="D43" i="6" s="1"/>
  <c r="N38" i="5"/>
  <c r="R40"/>
  <c r="J38"/>
  <c r="I7"/>
  <c r="R7" s="1"/>
  <c r="F38"/>
  <c r="Q27"/>
  <c r="D28" i="6" s="1"/>
  <c r="D34" s="1"/>
  <c r="G38" i="5"/>
  <c r="K38"/>
  <c r="O38"/>
  <c r="Q17"/>
  <c r="D18" i="6" s="1"/>
  <c r="R31" i="5"/>
  <c r="I38"/>
  <c r="M38"/>
  <c r="H38"/>
  <c r="L38"/>
  <c r="P38"/>
  <c r="R17"/>
  <c r="R36"/>
  <c r="Q36"/>
  <c r="D39" i="6" s="1"/>
  <c r="Q31" i="5"/>
  <c r="E38"/>
  <c r="R35"/>
  <c r="Q34" i="4"/>
  <c r="P34"/>
  <c r="D35" i="5" s="1"/>
  <c r="S35" i="4"/>
  <c r="S30"/>
  <c r="S17"/>
  <c r="Q27"/>
  <c r="P27"/>
  <c r="D27" i="5" s="1"/>
  <c r="Q39" i="4"/>
  <c r="P39"/>
  <c r="D40" i="5" s="1"/>
  <c r="O35" i="4"/>
  <c r="N35"/>
  <c r="M35"/>
  <c r="L35"/>
  <c r="K35"/>
  <c r="J35"/>
  <c r="I35"/>
  <c r="H35"/>
  <c r="G35"/>
  <c r="F35"/>
  <c r="E35"/>
  <c r="D35"/>
  <c r="Q33"/>
  <c r="P33"/>
  <c r="D34" i="5" s="1"/>
  <c r="Q32" i="4"/>
  <c r="P32"/>
  <c r="D33" i="5" s="1"/>
  <c r="Q31" i="4"/>
  <c r="P31"/>
  <c r="D32" i="5" s="1"/>
  <c r="O30" i="4"/>
  <c r="N30"/>
  <c r="M30"/>
  <c r="L30"/>
  <c r="K30"/>
  <c r="J30"/>
  <c r="I30"/>
  <c r="H30"/>
  <c r="G30"/>
  <c r="F30"/>
  <c r="E30"/>
  <c r="D30"/>
  <c r="Q29"/>
  <c r="P29"/>
  <c r="D29" i="5" s="1"/>
  <c r="Q26" i="4"/>
  <c r="P26"/>
  <c r="D26" i="5" s="1"/>
  <c r="Q25" i="4"/>
  <c r="P25"/>
  <c r="D25" i="5" s="1"/>
  <c r="Q24" i="4"/>
  <c r="P24"/>
  <c r="D24" i="5" s="1"/>
  <c r="Q23" i="4"/>
  <c r="P23"/>
  <c r="D23" i="5" s="1"/>
  <c r="Q22" i="4"/>
  <c r="P22"/>
  <c r="D22" i="5" s="1"/>
  <c r="Q21" i="4"/>
  <c r="P21"/>
  <c r="D21" i="5" s="1"/>
  <c r="Q20" i="4"/>
  <c r="P20"/>
  <c r="D20" i="5" s="1"/>
  <c r="Q19" i="4"/>
  <c r="P19"/>
  <c r="D19" i="5" s="1"/>
  <c r="Q18" i="4"/>
  <c r="P18"/>
  <c r="D18" i="5" s="1"/>
  <c r="O17" i="4"/>
  <c r="N17"/>
  <c r="M17"/>
  <c r="L17"/>
  <c r="K17"/>
  <c r="J17"/>
  <c r="I17"/>
  <c r="H17"/>
  <c r="G17"/>
  <c r="F17"/>
  <c r="E17"/>
  <c r="D17"/>
  <c r="Q16"/>
  <c r="P16"/>
  <c r="D16" i="5" s="1"/>
  <c r="Q14" i="4"/>
  <c r="P14"/>
  <c r="D14" i="5" s="1"/>
  <c r="Q13" i="4"/>
  <c r="P13"/>
  <c r="D13" i="5" s="1"/>
  <c r="Q12" i="4"/>
  <c r="P12"/>
  <c r="D12" i="5" s="1"/>
  <c r="Q11" i="4"/>
  <c r="P11"/>
  <c r="D11" i="5" s="1"/>
  <c r="Q10" i="4"/>
  <c r="P10"/>
  <c r="D10" i="5" s="1"/>
  <c r="Q9" i="4"/>
  <c r="P9"/>
  <c r="D9" i="5" s="1"/>
  <c r="Q8" i="4"/>
  <c r="P8"/>
  <c r="D8" i="5" s="1"/>
  <c r="O7" i="4"/>
  <c r="N7"/>
  <c r="M7"/>
  <c r="L7"/>
  <c r="K7"/>
  <c r="J7"/>
  <c r="I7"/>
  <c r="H7"/>
  <c r="G7"/>
  <c r="F7"/>
  <c r="E7"/>
  <c r="D7"/>
  <c r="Q6"/>
  <c r="P6"/>
  <c r="D6" i="5" s="1"/>
  <c r="Q5" i="4"/>
  <c r="P5"/>
  <c r="D5" i="5" s="1"/>
  <c r="Q4" i="4"/>
  <c r="P4"/>
  <c r="D4" i="5" s="1"/>
  <c r="Q3" i="4"/>
  <c r="P3"/>
  <c r="D3" i="5" s="1"/>
  <c r="Q2" i="4"/>
  <c r="P2"/>
  <c r="D2" i="5" s="1"/>
  <c r="P36" i="3"/>
  <c r="P30"/>
  <c r="P3"/>
  <c r="P4"/>
  <c r="P5"/>
  <c r="P6"/>
  <c r="P8"/>
  <c r="P9"/>
  <c r="P10"/>
  <c r="P11"/>
  <c r="P12"/>
  <c r="P13"/>
  <c r="P14"/>
  <c r="P15"/>
  <c r="P17"/>
  <c r="P18"/>
  <c r="P19"/>
  <c r="P20"/>
  <c r="P21"/>
  <c r="P22"/>
  <c r="P23"/>
  <c r="P24"/>
  <c r="P25"/>
  <c r="P26"/>
  <c r="P28"/>
  <c r="P29"/>
  <c r="P2"/>
  <c r="R16"/>
  <c r="R27"/>
  <c r="R32"/>
  <c r="O30"/>
  <c r="C33" i="4" s="1"/>
  <c r="Q7" i="5" l="1"/>
  <c r="D8" i="6" s="1"/>
  <c r="Q38" i="5"/>
  <c r="D41" i="6" s="1"/>
  <c r="R38" i="5"/>
  <c r="J37" i="4"/>
  <c r="F37"/>
  <c r="N37"/>
  <c r="I37"/>
  <c r="H37"/>
  <c r="P17"/>
  <c r="D17" i="5" s="1"/>
  <c r="E37" i="4"/>
  <c r="P30"/>
  <c r="D31" i="5" s="1"/>
  <c r="M37" i="4"/>
  <c r="D37"/>
  <c r="L37"/>
  <c r="K37"/>
  <c r="G37"/>
  <c r="O37"/>
  <c r="P35"/>
  <c r="D36" i="5" s="1"/>
  <c r="Q35" i="4"/>
  <c r="Q7"/>
  <c r="Q30"/>
  <c r="P7"/>
  <c r="D7" i="5" s="1"/>
  <c r="Q17" i="4"/>
  <c r="O36" i="3"/>
  <c r="C39" i="4" s="1"/>
  <c r="O3" i="3"/>
  <c r="C3" i="4" s="1"/>
  <c r="O4" i="3"/>
  <c r="C4" i="4" s="1"/>
  <c r="O5" i="3"/>
  <c r="C5" i="4" s="1"/>
  <c r="O6" i="3"/>
  <c r="C6" i="4" s="1"/>
  <c r="O8" i="3"/>
  <c r="C8" i="4" s="1"/>
  <c r="O9" i="3"/>
  <c r="C9" i="4" s="1"/>
  <c r="O10" i="3"/>
  <c r="C10" i="4" s="1"/>
  <c r="O11" i="3"/>
  <c r="C11" i="4" s="1"/>
  <c r="O12" i="3"/>
  <c r="C12" i="4" s="1"/>
  <c r="O13" i="3"/>
  <c r="C13" i="4" s="1"/>
  <c r="O14" i="3"/>
  <c r="O15"/>
  <c r="C16" i="4" s="1"/>
  <c r="O17" i="3"/>
  <c r="C18" i="4" s="1"/>
  <c r="O18" i="3"/>
  <c r="C19" i="4" s="1"/>
  <c r="O19" i="3"/>
  <c r="C20" i="4" s="1"/>
  <c r="O20" i="3"/>
  <c r="C21" i="4" s="1"/>
  <c r="O21" i="3"/>
  <c r="C22" i="4" s="1"/>
  <c r="O22" i="3"/>
  <c r="C23" i="4" s="1"/>
  <c r="O23" i="3"/>
  <c r="C24" i="4" s="1"/>
  <c r="O24" i="3"/>
  <c r="C25" i="4" s="1"/>
  <c r="O25" i="3"/>
  <c r="C26" i="4" s="1"/>
  <c r="O26" i="3"/>
  <c r="C27" i="4" s="1"/>
  <c r="O28" i="3"/>
  <c r="C31" i="4" s="1"/>
  <c r="O29" i="3"/>
  <c r="C32" i="4" s="1"/>
  <c r="O2" i="3"/>
  <c r="C2" i="4" s="1"/>
  <c r="N16" i="3"/>
  <c r="N27"/>
  <c r="N7"/>
  <c r="N32"/>
  <c r="M16"/>
  <c r="M27"/>
  <c r="M7"/>
  <c r="M32"/>
  <c r="L16"/>
  <c r="L27"/>
  <c r="L7"/>
  <c r="K16"/>
  <c r="K27"/>
  <c r="K7"/>
  <c r="K32"/>
  <c r="J16"/>
  <c r="J27"/>
  <c r="J7"/>
  <c r="J32"/>
  <c r="I7"/>
  <c r="I16"/>
  <c r="I27"/>
  <c r="I32"/>
  <c r="H16"/>
  <c r="H27"/>
  <c r="H32"/>
  <c r="G27"/>
  <c r="G7"/>
  <c r="G32"/>
  <c r="F16"/>
  <c r="F27"/>
  <c r="F7"/>
  <c r="F32"/>
  <c r="E7"/>
  <c r="D7"/>
  <c r="C7"/>
  <c r="E16"/>
  <c r="E27"/>
  <c r="E32"/>
  <c r="D16"/>
  <c r="D27"/>
  <c r="D32"/>
  <c r="L32"/>
  <c r="C32"/>
  <c r="C27"/>
  <c r="G16"/>
  <c r="C16"/>
  <c r="P27" l="1"/>
  <c r="P32"/>
  <c r="P16"/>
  <c r="C15" i="4"/>
  <c r="C14"/>
  <c r="Q37"/>
  <c r="P37"/>
  <c r="D38" i="5" s="1"/>
  <c r="O16" i="3"/>
  <c r="C17" i="4" s="1"/>
  <c r="O32" i="3"/>
  <c r="C35" i="4" s="1"/>
  <c r="O27" i="3"/>
  <c r="C30" i="4" s="1"/>
  <c r="H7" i="3"/>
  <c r="H34" s="1"/>
  <c r="C34"/>
  <c r="K34"/>
  <c r="I34"/>
  <c r="G34"/>
  <c r="F34"/>
  <c r="M34"/>
  <c r="D34"/>
  <c r="N34"/>
  <c r="E34"/>
  <c r="L34"/>
  <c r="J34"/>
  <c r="P7" l="1"/>
  <c r="P34"/>
  <c r="O34"/>
  <c r="C37" i="4" s="1"/>
  <c r="O7" i="3"/>
  <c r="C7" i="4" s="1"/>
  <c r="R4" i="6"/>
  <c r="P8"/>
  <c r="R8" s="1"/>
  <c r="Q4"/>
  <c r="Q8" s="1"/>
  <c r="D8" i="7" l="1"/>
  <c r="P41" i="6"/>
  <c r="Q41" s="1"/>
  <c r="D43" i="7" s="1"/>
  <c r="D4"/>
  <c r="R41" i="6" l="1"/>
</calcChain>
</file>

<file path=xl/sharedStrings.xml><?xml version="1.0" encoding="utf-8"?>
<sst xmlns="http://schemas.openxmlformats.org/spreadsheetml/2006/main" count="492" uniqueCount="79">
  <si>
    <t>R</t>
  </si>
  <si>
    <t>24 - Cabral</t>
  </si>
  <si>
    <t>25 - Remedios</t>
  </si>
  <si>
    <t>26 - Portugal</t>
  </si>
  <si>
    <t>31 - Hispanidad</t>
  </si>
  <si>
    <t>32 - Río Sil</t>
  </si>
  <si>
    <t>33 - Cañiza</t>
  </si>
  <si>
    <t>34 - Allariz</t>
  </si>
  <si>
    <t>35 - Fleming</t>
  </si>
  <si>
    <t>36 - Porriño</t>
  </si>
  <si>
    <t>37 - PL Porriño</t>
  </si>
  <si>
    <t>03 - Reza</t>
  </si>
  <si>
    <t>04 - Monforte</t>
  </si>
  <si>
    <t>05 - Vigo</t>
  </si>
  <si>
    <t>07 - Santiago</t>
  </si>
  <si>
    <t>08 - Coruña</t>
  </si>
  <si>
    <t>09 - Lugo</t>
  </si>
  <si>
    <t>12 - Outes</t>
  </si>
  <si>
    <t>Particulares</t>
  </si>
  <si>
    <t>Nóvoa</t>
  </si>
  <si>
    <t>Domínguez</t>
  </si>
  <si>
    <t>Dominios</t>
  </si>
  <si>
    <t>Central</t>
  </si>
  <si>
    <t>11 - Otero</t>
  </si>
  <si>
    <t>Otros</t>
  </si>
  <si>
    <t>DataCenter</t>
  </si>
  <si>
    <t>TOTAL FACTURA</t>
  </si>
  <si>
    <t>Total general</t>
  </si>
  <si>
    <t>Total R</t>
  </si>
  <si>
    <t>Cash &amp; Carry</t>
  </si>
  <si>
    <t>Total Cash &amp; Carry</t>
  </si>
  <si>
    <t>Supermercados</t>
  </si>
  <si>
    <t>Total Supermercados</t>
  </si>
  <si>
    <t>Total Particulares</t>
  </si>
  <si>
    <t>Ajustes</t>
  </si>
  <si>
    <t>Promedio 2012</t>
  </si>
  <si>
    <t>Promedio 2011</t>
  </si>
  <si>
    <t>38 - PL Camelias</t>
  </si>
  <si>
    <t>Luís</t>
  </si>
  <si>
    <t>Víctor</t>
  </si>
  <si>
    <t>Coste mensual por tienda</t>
  </si>
  <si>
    <t>Total 2011</t>
  </si>
  <si>
    <t>Total 2012</t>
  </si>
  <si>
    <t>13 - Redondela</t>
  </si>
  <si>
    <t>39 - PL Agranxa</t>
  </si>
  <si>
    <t>Promedio 2013</t>
  </si>
  <si>
    <t>Total 2013</t>
  </si>
  <si>
    <t>cta</t>
  </si>
  <si>
    <t>41 - Horreo</t>
  </si>
  <si>
    <t>Promedio 2014</t>
  </si>
  <si>
    <t>Total 2014</t>
  </si>
  <si>
    <t>42 - PL Monterroso</t>
  </si>
  <si>
    <t>Promedio 2015</t>
  </si>
  <si>
    <t>Total 2015</t>
  </si>
  <si>
    <t>15 - Tomiño</t>
  </si>
  <si>
    <t>Artur</t>
  </si>
  <si>
    <t>43 - PL Puebla</t>
  </si>
  <si>
    <t>Almacen extra</t>
  </si>
  <si>
    <t>Promedio 2016</t>
  </si>
  <si>
    <t>Total 2016</t>
  </si>
  <si>
    <t>44 - PL SANROQUE</t>
  </si>
  <si>
    <t>45 - PL A RUA</t>
  </si>
  <si>
    <t>44 - PL SanRoque</t>
  </si>
  <si>
    <t>45 - PL A Rua</t>
  </si>
  <si>
    <t>46 - PL Quiroga</t>
  </si>
  <si>
    <t>Promedio 2017</t>
  </si>
  <si>
    <t>Promedio 2018</t>
  </si>
  <si>
    <t>Total 2017</t>
  </si>
  <si>
    <t>16 - Ponferrada</t>
  </si>
  <si>
    <t>Total 2018</t>
  </si>
  <si>
    <t>Promedio 2019</t>
  </si>
  <si>
    <t>Total 2019</t>
  </si>
  <si>
    <t xml:space="preserve">San Cibrao </t>
  </si>
  <si>
    <t>Nacho</t>
  </si>
  <si>
    <t>17-Benavente</t>
  </si>
  <si>
    <t>18 - Zamora</t>
  </si>
  <si>
    <t>19 - Leon</t>
  </si>
  <si>
    <t>Promedio 2020</t>
  </si>
  <si>
    <t>Total 2020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</si>
</sst>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.0000\ &quot;€&quot;;\-#,##0.0000\ &quot;€&quot;"/>
    <numFmt numFmtId="165" formatCode="#,##0.0000[$ euros-D8A]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108">
    <xf numFmtId="0" fontId="0" fillId="0" borderId="0" xfId="0"/>
    <xf numFmtId="165" fontId="0" fillId="0" borderId="0" xfId="0" applyNumberFormat="1"/>
    <xf numFmtId="0" fontId="1" fillId="0" borderId="0" xfId="0" applyFont="1"/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17" fontId="1" fillId="0" borderId="13" xfId="0" applyNumberFormat="1" applyFont="1" applyBorder="1" applyAlignment="1">
      <alignment vertical="center"/>
    </xf>
    <xf numFmtId="17" fontId="1" fillId="0" borderId="14" xfId="0" applyNumberFormat="1" applyFont="1" applyBorder="1" applyAlignment="1">
      <alignment vertical="center"/>
    </xf>
    <xf numFmtId="17" fontId="1" fillId="0" borderId="20" xfId="0" applyNumberFormat="1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0" fillId="0" borderId="16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/>
    <xf numFmtId="164" fontId="0" fillId="0" borderId="5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164" fontId="1" fillId="0" borderId="13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28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0" fillId="2" borderId="22" xfId="0" applyNumberFormat="1" applyFill="1" applyBorder="1" applyAlignment="1">
      <alignment vertical="center"/>
    </xf>
    <xf numFmtId="164" fontId="0" fillId="2" borderId="5" xfId="0" applyNumberFormat="1" applyFill="1" applyBorder="1" applyAlignment="1">
      <alignment vertical="center"/>
    </xf>
    <xf numFmtId="164" fontId="0" fillId="2" borderId="17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64" fontId="0" fillId="2" borderId="2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4" fontId="0" fillId="2" borderId="16" xfId="0" applyNumberFormat="1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164" fontId="0" fillId="2" borderId="26" xfId="0" applyNumberFormat="1" applyFill="1" applyBorder="1" applyAlignment="1">
      <alignment vertical="center"/>
    </xf>
    <xf numFmtId="0" fontId="0" fillId="0" borderId="1" xfId="0" applyBorder="1"/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4" fontId="0" fillId="0" borderId="2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22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164" fontId="0" fillId="0" borderId="17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164" fontId="0" fillId="0" borderId="18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64" fontId="0" fillId="0" borderId="37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26" xfId="0" applyNumberFormat="1" applyBorder="1" applyAlignment="1">
      <alignment vertical="center"/>
    </xf>
    <xf numFmtId="44" fontId="0" fillId="0" borderId="0" xfId="2" applyFont="1"/>
    <xf numFmtId="0" fontId="0" fillId="0" borderId="37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164" fontId="0" fillId="0" borderId="27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Agrupado%20x%20sedes/Facturas5001329842544134372(julio2017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LLARIZ - RUA EMILIA PARDO BAZ"/>
      <sheetName val="CAÑIZA (A) - RUA SILLEDA"/>
      <sheetName val="CORUÑA (A) - AVD FINISTERRE"/>
      <sheetName val="CORUÑA (A) - C ISAAC PERAL"/>
      <sheetName val="LANCARA - RUA BENIGNO QUIROGA"/>
      <sheetName val="LUGO - AVD CORUÑA"/>
      <sheetName val="LUGO - RUA SAN ROQUE"/>
      <sheetName val="MONFORTE DE LEMOS - BRO POLIGO"/>
      <sheetName val="MONTERROSO - AVD LUGO"/>
      <sheetName val="OURENSE - AVD BUENOS AIRES"/>
      <sheetName val="OURENSE - AVD MARIN"/>
      <sheetName val="OURENSE - AVD OTERO PEDRAYO"/>
      <sheetName val="OURENSE - RUA BELLA OTERO"/>
      <sheetName val="OURENSE - RUA CARRIARICO"/>
      <sheetName val="OURENSE - RUA DOUTOR FLEMING"/>
      <sheetName val="OURENSE - RUA ESCORIAL"/>
      <sheetName val="OURENSE - RUA GRANXA"/>
      <sheetName val="OURENSE - RUA JOSE ANTONIO  NI"/>
      <sheetName val="OURENSE - RUA REMEDIOS"/>
      <sheetName val="OURENSE - RUA REZA"/>
      <sheetName val="OURENSE - RUA RIO SIL"/>
      <sheetName val="OURENSE - RUA SALVADOR DE MADA"/>
      <sheetName val="OURENSE - RUA TECELANS"/>
      <sheetName val="OUTES - LG ENTINS"/>
      <sheetName val="PORRIÑO (O) - RUA MERCADO"/>
      <sheetName val="PORRIÑO (O) - RUA PINAR"/>
      <sheetName val="REDONDELA - RUA MURO"/>
      <sheetName val="RUA (A) - RUA PROGRESO"/>
      <sheetName val="SANTIAGO DE COMPOSTELA - AVD Q"/>
      <sheetName val="SANTIAGO DE COMPOSTELA - CST S"/>
      <sheetName val="SANTIAGO DE COMPOSTELA - RUA R"/>
      <sheetName val="TOMIÑO - LG A GRANXOLA"/>
      <sheetName val="VIGO - AVD CAMELIAS"/>
      <sheetName val="VIGO - AVD HISPANIDADE"/>
      <sheetName val="VIGO - AVD RAMON NIETO"/>
      <sheetName val="VIGO - CTR BA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G2">
            <v>32</v>
          </cell>
        </row>
        <row r="3">
          <cell r="G3">
            <v>-6.5500000000000003E-2</v>
          </cell>
        </row>
        <row r="4">
          <cell r="G4">
            <v>0</v>
          </cell>
        </row>
        <row r="5">
          <cell r="G5">
            <v>0.32750000000000001</v>
          </cell>
        </row>
        <row r="6">
          <cell r="G6">
            <v>0.246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12.5</v>
          </cell>
        </row>
        <row r="10">
          <cell r="G10">
            <v>2.5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>
      <pane xSplit="2" topLeftCell="C1" activePane="topRight" state="frozen"/>
      <selection pane="topRight" activeCell="O36" sqref="O1:O36"/>
    </sheetView>
  </sheetViews>
  <sheetFormatPr baseColWidth="10" defaultRowHeight="14.4" outlineLevelRow="2"/>
  <cols>
    <col min="1" max="1" width="25.44140625" customWidth="1"/>
    <col min="2" max="2" width="14.44140625" bestFit="1" customWidth="1"/>
    <col min="3" max="3" width="13.6640625" bestFit="1" customWidth="1"/>
    <col min="4" max="5" width="12.6640625" bestFit="1" customWidth="1"/>
    <col min="6" max="8" width="12" bestFit="1" customWidth="1"/>
    <col min="9" max="14" width="11.5546875" bestFit="1" customWidth="1"/>
    <col min="15" max="15" width="14.109375" bestFit="1" customWidth="1"/>
    <col min="16" max="16" width="12.5546875" bestFit="1" customWidth="1"/>
    <col min="17" max="17" width="11.5546875" bestFit="1" customWidth="1"/>
    <col min="18" max="18" width="23.33203125" bestFit="1" customWidth="1"/>
  </cols>
  <sheetData>
    <row r="1" spans="1:18" ht="15" thickBot="1">
      <c r="A1" s="3"/>
      <c r="B1" s="4"/>
      <c r="C1" s="5">
        <v>40544</v>
      </c>
      <c r="D1" s="6">
        <v>40575</v>
      </c>
      <c r="E1" s="6">
        <v>40603</v>
      </c>
      <c r="F1" s="6">
        <v>40634</v>
      </c>
      <c r="G1" s="6">
        <v>40664</v>
      </c>
      <c r="H1" s="6">
        <v>40695</v>
      </c>
      <c r="I1" s="6">
        <v>40725</v>
      </c>
      <c r="J1" s="6">
        <v>40756</v>
      </c>
      <c r="K1" s="6">
        <v>40787</v>
      </c>
      <c r="L1" s="6">
        <v>40817</v>
      </c>
      <c r="M1" s="6">
        <v>40848</v>
      </c>
      <c r="N1" s="7">
        <v>40878</v>
      </c>
      <c r="O1" s="42" t="s">
        <v>36</v>
      </c>
      <c r="P1" s="34" t="s">
        <v>41</v>
      </c>
      <c r="R1" s="8" t="s">
        <v>40</v>
      </c>
    </row>
    <row r="2" spans="1:18" outlineLevel="2">
      <c r="A2" s="105" t="s">
        <v>0</v>
      </c>
      <c r="B2" s="9" t="s">
        <v>22</v>
      </c>
      <c r="C2" s="10">
        <v>3242.8507999999997</v>
      </c>
      <c r="D2" s="10">
        <v>2829.4548000000004</v>
      </c>
      <c r="E2" s="10">
        <v>2771.8119999999999</v>
      </c>
      <c r="F2" s="10">
        <v>2959.1350999999995</v>
      </c>
      <c r="G2" s="10">
        <v>2964.5509999999995</v>
      </c>
      <c r="H2" s="10">
        <v>2970.6212999999998</v>
      </c>
      <c r="I2" s="10">
        <v>3000.5044000000003</v>
      </c>
      <c r="J2" s="10">
        <v>3042.8946999999994</v>
      </c>
      <c r="K2" s="10">
        <v>2970.9586999999997</v>
      </c>
      <c r="L2" s="10">
        <v>2969.1365999999989</v>
      </c>
      <c r="M2" s="10">
        <v>2979.5429999999992</v>
      </c>
      <c r="N2" s="11">
        <v>2974.4712999999992</v>
      </c>
      <c r="O2" s="45">
        <f t="shared" ref="O2:O30" si="0">AVERAGE(C2:N2)</f>
        <v>2972.9944749999995</v>
      </c>
      <c r="P2" s="36">
        <f>SUM(C2:N2)</f>
        <v>35675.933699999994</v>
      </c>
      <c r="Q2" s="38"/>
    </row>
    <row r="3" spans="1:18" outlineLevel="2">
      <c r="A3" s="106"/>
      <c r="B3" s="12" t="s">
        <v>21</v>
      </c>
      <c r="C3" s="13">
        <v>48</v>
      </c>
      <c r="D3" s="13">
        <v>0</v>
      </c>
      <c r="E3" s="13">
        <v>120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4">
        <v>24</v>
      </c>
      <c r="O3" s="39">
        <f t="shared" si="0"/>
        <v>16</v>
      </c>
      <c r="P3" s="40">
        <f t="shared" ref="P3:P36" si="1">SUM(C3:N3)</f>
        <v>192</v>
      </c>
    </row>
    <row r="4" spans="1:18" outlineLevel="2">
      <c r="A4" s="106"/>
      <c r="B4" s="12" t="s">
        <v>25</v>
      </c>
      <c r="C4" s="13">
        <v>74.577399999999997</v>
      </c>
      <c r="D4" s="13">
        <v>54.9</v>
      </c>
      <c r="E4" s="13">
        <v>54.9</v>
      </c>
      <c r="F4" s="13">
        <v>54.9</v>
      </c>
      <c r="G4" s="13">
        <v>54.9</v>
      </c>
      <c r="H4" s="13">
        <v>54.9</v>
      </c>
      <c r="I4" s="13">
        <v>54.9</v>
      </c>
      <c r="J4" s="13">
        <v>54.9</v>
      </c>
      <c r="K4" s="13">
        <v>54.9</v>
      </c>
      <c r="L4" s="13">
        <v>54.9</v>
      </c>
      <c r="M4" s="13">
        <v>54.9</v>
      </c>
      <c r="N4" s="14">
        <v>54.9</v>
      </c>
      <c r="O4" s="39">
        <f t="shared" si="0"/>
        <v>56.539783333333325</v>
      </c>
      <c r="P4" s="40">
        <f t="shared" si="1"/>
        <v>678.47739999999988</v>
      </c>
    </row>
    <row r="5" spans="1:18" outlineLevel="2">
      <c r="A5" s="106"/>
      <c r="B5" s="12" t="s">
        <v>34</v>
      </c>
      <c r="C5" s="13">
        <v>0</v>
      </c>
      <c r="D5" s="13">
        <v>0</v>
      </c>
      <c r="E5" s="13">
        <v>-40.670400000000001</v>
      </c>
      <c r="F5" s="13">
        <v>0</v>
      </c>
      <c r="G5" s="13">
        <v>0</v>
      </c>
      <c r="H5" s="13">
        <v>0</v>
      </c>
      <c r="I5" s="13">
        <v>-31.870699999999999</v>
      </c>
      <c r="J5" s="13">
        <v>0</v>
      </c>
      <c r="K5" s="13">
        <v>-22.3475</v>
      </c>
      <c r="L5" s="13">
        <v>0</v>
      </c>
      <c r="M5" s="13">
        <v>0</v>
      </c>
      <c r="N5" s="14">
        <v>0</v>
      </c>
      <c r="O5" s="39">
        <f t="shared" si="0"/>
        <v>-7.9073833333333328</v>
      </c>
      <c r="P5" s="40">
        <f t="shared" si="1"/>
        <v>-94.888599999999997</v>
      </c>
    </row>
    <row r="6" spans="1:18" outlineLevel="2">
      <c r="A6" s="107"/>
      <c r="B6" s="12" t="s">
        <v>24</v>
      </c>
      <c r="C6" s="13">
        <v>133.67740000000001</v>
      </c>
      <c r="D6" s="13">
        <v>90</v>
      </c>
      <c r="E6" s="13">
        <v>90</v>
      </c>
      <c r="F6" s="13">
        <v>90</v>
      </c>
      <c r="G6" s="13">
        <v>90</v>
      </c>
      <c r="H6" s="15">
        <v>90</v>
      </c>
      <c r="I6" s="13">
        <v>90</v>
      </c>
      <c r="J6" s="13">
        <v>90</v>
      </c>
      <c r="K6" s="13">
        <v>90</v>
      </c>
      <c r="L6" s="13">
        <v>90</v>
      </c>
      <c r="M6" s="13">
        <v>90</v>
      </c>
      <c r="N6" s="14">
        <v>90</v>
      </c>
      <c r="O6" s="39">
        <f t="shared" si="0"/>
        <v>93.639783333333341</v>
      </c>
      <c r="P6" s="40">
        <f t="shared" si="1"/>
        <v>1123.6774</v>
      </c>
    </row>
    <row r="7" spans="1:18" ht="15" outlineLevel="1" thickBot="1">
      <c r="A7" s="16" t="s">
        <v>28</v>
      </c>
      <c r="B7" s="17"/>
      <c r="C7" s="18">
        <f>SUBTOTAL(9,C2:C6)</f>
        <v>3499.1055999999999</v>
      </c>
      <c r="D7" s="18">
        <f t="shared" ref="D7:N7" si="2">SUBTOTAL(9,D2:D6)</f>
        <v>2974.3548000000005</v>
      </c>
      <c r="E7" s="18">
        <f t="shared" si="2"/>
        <v>2996.0416</v>
      </c>
      <c r="F7" s="18">
        <f t="shared" si="2"/>
        <v>3104.0350999999996</v>
      </c>
      <c r="G7" s="18">
        <f t="shared" si="2"/>
        <v>3109.4509999999996</v>
      </c>
      <c r="H7" s="18">
        <f t="shared" si="2"/>
        <v>3115.5212999999999</v>
      </c>
      <c r="I7" s="18">
        <f t="shared" si="2"/>
        <v>3113.5337000000004</v>
      </c>
      <c r="J7" s="18">
        <f t="shared" si="2"/>
        <v>3187.7946999999995</v>
      </c>
      <c r="K7" s="18">
        <f t="shared" si="2"/>
        <v>3093.5111999999999</v>
      </c>
      <c r="L7" s="18">
        <f t="shared" si="2"/>
        <v>3114.036599999999</v>
      </c>
      <c r="M7" s="18">
        <f t="shared" si="2"/>
        <v>3124.4429999999993</v>
      </c>
      <c r="N7" s="19">
        <f t="shared" si="2"/>
        <v>3143.3712999999993</v>
      </c>
      <c r="O7" s="41">
        <f t="shared" si="0"/>
        <v>3131.2666583333325</v>
      </c>
      <c r="P7" s="46">
        <f t="shared" si="1"/>
        <v>37575.199899999992</v>
      </c>
    </row>
    <row r="8" spans="1:18" outlineLevel="2">
      <c r="A8" s="103" t="s">
        <v>29</v>
      </c>
      <c r="B8" s="21" t="s">
        <v>11</v>
      </c>
      <c r="C8" s="10">
        <v>55.496000000000002</v>
      </c>
      <c r="D8" s="10">
        <v>52.996000000000002</v>
      </c>
      <c r="E8" s="10">
        <v>53.562999999999995</v>
      </c>
      <c r="F8" s="10">
        <v>52.996000000000002</v>
      </c>
      <c r="G8" s="10"/>
      <c r="H8" s="10">
        <v>60.553699999999999</v>
      </c>
      <c r="I8" s="10">
        <v>53.71</v>
      </c>
      <c r="J8" s="10">
        <v>55.198</v>
      </c>
      <c r="K8" s="10">
        <v>54.445</v>
      </c>
      <c r="L8" s="10">
        <v>54.030999999999999</v>
      </c>
      <c r="M8" s="10">
        <v>53.896300000000004</v>
      </c>
      <c r="N8" s="11">
        <v>57.124300000000012</v>
      </c>
      <c r="O8" s="45">
        <f t="shared" si="0"/>
        <v>54.909936363636369</v>
      </c>
      <c r="P8" s="36">
        <f t="shared" si="1"/>
        <v>604.00930000000005</v>
      </c>
    </row>
    <row r="9" spans="1:18" outlineLevel="2">
      <c r="A9" s="104"/>
      <c r="B9" s="12" t="s">
        <v>12</v>
      </c>
      <c r="C9" s="13">
        <v>45.644799999999996</v>
      </c>
      <c r="D9" s="13">
        <v>77.141000000000005</v>
      </c>
      <c r="E9" s="13">
        <v>52.618000000000002</v>
      </c>
      <c r="F9" s="13">
        <v>53.351300000000002</v>
      </c>
      <c r="G9" s="13">
        <v>52.94</v>
      </c>
      <c r="H9" s="13">
        <v>52.784700000000001</v>
      </c>
      <c r="I9" s="13">
        <v>52.234000000000002</v>
      </c>
      <c r="J9" s="13">
        <v>53.568599999999996</v>
      </c>
      <c r="K9" s="13">
        <v>55.716999999999999</v>
      </c>
      <c r="L9" s="13">
        <v>52.561300000000003</v>
      </c>
      <c r="M9" s="13">
        <v>52</v>
      </c>
      <c r="N9" s="14">
        <v>52.691999999999993</v>
      </c>
      <c r="O9" s="39">
        <f t="shared" si="0"/>
        <v>54.437725</v>
      </c>
      <c r="P9" s="40">
        <f t="shared" si="1"/>
        <v>653.2527</v>
      </c>
    </row>
    <row r="10" spans="1:18" outlineLevel="2">
      <c r="A10" s="104"/>
      <c r="B10" s="12" t="s">
        <v>13</v>
      </c>
      <c r="C10" s="13">
        <v>104.8777</v>
      </c>
      <c r="D10" s="13">
        <v>118.0324</v>
      </c>
      <c r="E10" s="13">
        <v>119.2363</v>
      </c>
      <c r="F10" s="13">
        <v>156.09330000000003</v>
      </c>
      <c r="G10" s="13">
        <v>127.23429999999999</v>
      </c>
      <c r="H10" s="13">
        <v>111.8443</v>
      </c>
      <c r="I10" s="13">
        <v>110.66560000000001</v>
      </c>
      <c r="J10" s="13">
        <v>108.78230000000002</v>
      </c>
      <c r="K10" s="13">
        <v>121.22390000000001</v>
      </c>
      <c r="L10" s="13">
        <v>113.7856</v>
      </c>
      <c r="M10" s="13">
        <v>122.63830000000002</v>
      </c>
      <c r="N10" s="14">
        <v>109.12400000000001</v>
      </c>
      <c r="O10" s="39">
        <f t="shared" si="0"/>
        <v>118.62816666666667</v>
      </c>
      <c r="P10" s="40">
        <f t="shared" si="1"/>
        <v>1423.538</v>
      </c>
    </row>
    <row r="11" spans="1:18" outlineLevel="2">
      <c r="A11" s="104"/>
      <c r="B11" s="12" t="s">
        <v>14</v>
      </c>
      <c r="C11" s="13">
        <v>50.499299999999998</v>
      </c>
      <c r="D11" s="13">
        <v>50.446300000000001</v>
      </c>
      <c r="E11" s="13">
        <v>50.629299999999994</v>
      </c>
      <c r="F11" s="13">
        <v>50.348700000000001</v>
      </c>
      <c r="G11" s="13">
        <v>49.999299999999998</v>
      </c>
      <c r="H11" s="13">
        <v>50.848300000000002</v>
      </c>
      <c r="I11" s="13">
        <v>50.218299999999992</v>
      </c>
      <c r="J11" s="13">
        <v>49.999299999999998</v>
      </c>
      <c r="K11" s="13">
        <v>49.999299999999998</v>
      </c>
      <c r="L11" s="13">
        <v>58.366300000000003</v>
      </c>
      <c r="M11" s="13">
        <v>52.400299999999994</v>
      </c>
      <c r="N11" s="14">
        <v>85.294300000000007</v>
      </c>
      <c r="O11" s="39">
        <f t="shared" si="0"/>
        <v>54.087416666666677</v>
      </c>
      <c r="P11" s="40">
        <f t="shared" si="1"/>
        <v>649.04900000000009</v>
      </c>
    </row>
    <row r="12" spans="1:18" outlineLevel="2">
      <c r="A12" s="104"/>
      <c r="B12" s="12" t="s">
        <v>15</v>
      </c>
      <c r="C12" s="12">
        <v>73.805399999999992</v>
      </c>
      <c r="D12" s="13">
        <v>56.250400000000006</v>
      </c>
      <c r="E12" s="13">
        <v>56.139500000000005</v>
      </c>
      <c r="F12" s="13">
        <v>53.875999999999998</v>
      </c>
      <c r="G12" s="13">
        <v>50.996000000000002</v>
      </c>
      <c r="H12" s="13">
        <v>59.336999999999996</v>
      </c>
      <c r="I12" s="13">
        <v>51.981000000000016</v>
      </c>
      <c r="J12" s="13">
        <v>50.996000000000002</v>
      </c>
      <c r="K12" s="13">
        <v>50.996000000000002</v>
      </c>
      <c r="L12" s="13">
        <v>50.996000000000002</v>
      </c>
      <c r="M12" s="13">
        <v>51.262999999999998</v>
      </c>
      <c r="N12" s="14">
        <v>51.693000000000005</v>
      </c>
      <c r="O12" s="39">
        <f t="shared" si="0"/>
        <v>54.860774999999997</v>
      </c>
      <c r="P12" s="40">
        <f t="shared" si="1"/>
        <v>658.32929999999999</v>
      </c>
    </row>
    <row r="13" spans="1:18" outlineLevel="2">
      <c r="A13" s="104"/>
      <c r="B13" s="12" t="s">
        <v>16</v>
      </c>
      <c r="C13" s="12">
        <v>55.496000000000002</v>
      </c>
      <c r="D13" s="13">
        <v>56.530300000000004</v>
      </c>
      <c r="E13" s="13">
        <v>54.996000000000002</v>
      </c>
      <c r="F13" s="13">
        <v>54.996000000000002</v>
      </c>
      <c r="G13" s="13">
        <v>55.429499999999997</v>
      </c>
      <c r="H13" s="13">
        <v>54.996000000000002</v>
      </c>
      <c r="I13" s="13">
        <v>57.365000000000002</v>
      </c>
      <c r="J13" s="13">
        <v>55.692</v>
      </c>
      <c r="K13" s="13">
        <v>55.238999999999997</v>
      </c>
      <c r="L13" s="13">
        <v>54.996000000000002</v>
      </c>
      <c r="M13" s="13">
        <v>54.996000000000002</v>
      </c>
      <c r="N13" s="14">
        <v>54.996000000000002</v>
      </c>
      <c r="O13" s="39">
        <f t="shared" si="0"/>
        <v>55.477316666666667</v>
      </c>
      <c r="P13" s="40">
        <f t="shared" si="1"/>
        <v>665.7278</v>
      </c>
    </row>
    <row r="14" spans="1:18" outlineLevel="2">
      <c r="A14" s="104"/>
      <c r="B14" s="12" t="s">
        <v>23</v>
      </c>
      <c r="C14" s="13">
        <v>77.269999999999982</v>
      </c>
      <c r="D14" s="13">
        <v>74.353499999999983</v>
      </c>
      <c r="E14" s="13">
        <v>90.794800000000009</v>
      </c>
      <c r="F14" s="13">
        <v>92.411999999999978</v>
      </c>
      <c r="G14" s="13">
        <v>89.889999999999986</v>
      </c>
      <c r="H14" s="13">
        <v>90.298299999999983</v>
      </c>
      <c r="I14" s="13">
        <v>89.889999999999986</v>
      </c>
      <c r="J14" s="13">
        <v>89.889999999999986</v>
      </c>
      <c r="K14" s="13">
        <v>89.889999999999986</v>
      </c>
      <c r="L14" s="13">
        <v>89.889999999999986</v>
      </c>
      <c r="M14" s="13">
        <v>90.10329999999999</v>
      </c>
      <c r="N14" s="14">
        <v>89.889999999999986</v>
      </c>
      <c r="O14" s="39">
        <f t="shared" si="0"/>
        <v>87.88099166666666</v>
      </c>
      <c r="P14" s="40">
        <f t="shared" si="1"/>
        <v>1054.5718999999999</v>
      </c>
    </row>
    <row r="15" spans="1:18" outlineLevel="2">
      <c r="A15" s="104"/>
      <c r="B15" s="12" t="s">
        <v>17</v>
      </c>
      <c r="C15" s="13">
        <v>89.961400000000012</v>
      </c>
      <c r="D15" s="13">
        <v>87.572800000000015</v>
      </c>
      <c r="E15" s="13">
        <v>87.890300000000011</v>
      </c>
      <c r="F15" s="13">
        <v>87.233300000000014</v>
      </c>
      <c r="G15" s="13">
        <v>86.909300000000016</v>
      </c>
      <c r="H15" s="13">
        <v>87.415600000000012</v>
      </c>
      <c r="I15" s="13">
        <v>87.326300000000018</v>
      </c>
      <c r="J15" s="13">
        <v>88.961300000000023</v>
      </c>
      <c r="K15" s="13">
        <v>87.173300000000012</v>
      </c>
      <c r="L15" s="13">
        <v>86.909300000000016</v>
      </c>
      <c r="M15" s="13">
        <v>87.071300000000022</v>
      </c>
      <c r="N15" s="14">
        <v>88.465600000000009</v>
      </c>
      <c r="O15" s="39">
        <f t="shared" si="0"/>
        <v>87.740816666666703</v>
      </c>
      <c r="P15" s="40">
        <f t="shared" si="1"/>
        <v>1052.8898000000004</v>
      </c>
    </row>
    <row r="16" spans="1:18" ht="15" outlineLevel="1" thickBot="1">
      <c r="A16" s="22" t="s">
        <v>30</v>
      </c>
      <c r="B16" s="17"/>
      <c r="C16" s="18">
        <f t="shared" ref="C16:N16" si="3">SUBTOTAL(9,C8:C15)</f>
        <v>553.05060000000003</v>
      </c>
      <c r="D16" s="18">
        <f t="shared" si="3"/>
        <v>573.32270000000005</v>
      </c>
      <c r="E16" s="18">
        <f t="shared" si="3"/>
        <v>565.86720000000003</v>
      </c>
      <c r="F16" s="18">
        <f t="shared" si="3"/>
        <v>601.3066</v>
      </c>
      <c r="G16" s="18">
        <f t="shared" si="3"/>
        <v>513.39840000000004</v>
      </c>
      <c r="H16" s="18">
        <f t="shared" si="3"/>
        <v>568.0779</v>
      </c>
      <c r="I16" s="18">
        <f t="shared" si="3"/>
        <v>553.39020000000005</v>
      </c>
      <c r="J16" s="18">
        <f t="shared" si="3"/>
        <v>553.08749999999998</v>
      </c>
      <c r="K16" s="18">
        <f t="shared" si="3"/>
        <v>564.68349999999998</v>
      </c>
      <c r="L16" s="18">
        <f t="shared" si="3"/>
        <v>561.53549999999996</v>
      </c>
      <c r="M16" s="18">
        <f t="shared" si="3"/>
        <v>564.36850000000004</v>
      </c>
      <c r="N16" s="19">
        <f t="shared" si="3"/>
        <v>589.27920000000006</v>
      </c>
      <c r="O16" s="41">
        <f t="shared" si="0"/>
        <v>563.44731666666655</v>
      </c>
      <c r="P16" s="46">
        <f t="shared" si="1"/>
        <v>6761.3677999999991</v>
      </c>
      <c r="R16" s="20">
        <f>AVERAGE(C8:N15)</f>
        <v>71.172292631578998</v>
      </c>
    </row>
    <row r="17" spans="1:18" outlineLevel="2">
      <c r="A17" s="103" t="s">
        <v>31</v>
      </c>
      <c r="B17" s="9" t="s">
        <v>1</v>
      </c>
      <c r="C17" s="10">
        <v>92.743300000000005</v>
      </c>
      <c r="D17" s="10">
        <v>88.188300000000012</v>
      </c>
      <c r="E17" s="10">
        <v>92.363300000000024</v>
      </c>
      <c r="F17" s="10">
        <v>90.857900000000001</v>
      </c>
      <c r="G17" s="10">
        <v>92.42440000000002</v>
      </c>
      <c r="H17" s="10">
        <v>97.257300000000015</v>
      </c>
      <c r="I17" s="10">
        <v>92.445300000000017</v>
      </c>
      <c r="J17" s="10">
        <v>90.629300000000015</v>
      </c>
      <c r="K17" s="10">
        <v>101.02409999999999</v>
      </c>
      <c r="L17" s="10">
        <v>97.683299999999988</v>
      </c>
      <c r="M17" s="10">
        <v>96.4833</v>
      </c>
      <c r="N17" s="11">
        <v>83.770600000000016</v>
      </c>
      <c r="O17" s="45">
        <f t="shared" si="0"/>
        <v>92.989200000000025</v>
      </c>
      <c r="P17" s="36">
        <f t="shared" si="1"/>
        <v>1115.8704000000002</v>
      </c>
    </row>
    <row r="18" spans="1:18" outlineLevel="2">
      <c r="A18" s="104"/>
      <c r="B18" s="12" t="s">
        <v>2</v>
      </c>
      <c r="C18" s="13">
        <v>75.969699999999975</v>
      </c>
      <c r="D18" s="13">
        <v>74.923400000000001</v>
      </c>
      <c r="E18" s="13">
        <v>75.359300000000005</v>
      </c>
      <c r="F18" s="13">
        <v>81.271999999999991</v>
      </c>
      <c r="G18" s="13">
        <v>75.006099999999989</v>
      </c>
      <c r="H18" s="13">
        <v>76.33959999999999</v>
      </c>
      <c r="I18" s="13">
        <v>74.158500000000004</v>
      </c>
      <c r="J18" s="13">
        <v>75.631099999999989</v>
      </c>
      <c r="K18" s="13">
        <v>75.305099999999982</v>
      </c>
      <c r="L18" s="13">
        <v>74.776799999999966</v>
      </c>
      <c r="M18" s="13">
        <v>76.745099999999979</v>
      </c>
      <c r="N18" s="14">
        <v>74.040099999999981</v>
      </c>
      <c r="O18" s="39">
        <f t="shared" si="0"/>
        <v>75.793899999999994</v>
      </c>
      <c r="P18" s="40">
        <f t="shared" si="1"/>
        <v>909.52679999999987</v>
      </c>
    </row>
    <row r="19" spans="1:18" outlineLevel="2">
      <c r="A19" s="104"/>
      <c r="B19" s="12" t="s">
        <v>3</v>
      </c>
      <c r="C19" s="13">
        <v>76.812299999999993</v>
      </c>
      <c r="D19" s="13">
        <v>74.770600000000002</v>
      </c>
      <c r="E19" s="13">
        <v>72.310699999999997</v>
      </c>
      <c r="F19" s="13">
        <v>73.044000000000011</v>
      </c>
      <c r="G19" s="13">
        <v>76.545100000000005</v>
      </c>
      <c r="H19" s="13">
        <v>73.89739999999999</v>
      </c>
      <c r="I19" s="13">
        <v>71.335999999999999</v>
      </c>
      <c r="J19" s="13">
        <v>74.815600000000003</v>
      </c>
      <c r="K19" s="13">
        <v>79.495100000000008</v>
      </c>
      <c r="L19" s="13">
        <v>71.809399999999997</v>
      </c>
      <c r="M19" s="13">
        <v>72.783000000000001</v>
      </c>
      <c r="N19" s="14">
        <v>72.815000000000012</v>
      </c>
      <c r="O19" s="39">
        <f t="shared" si="0"/>
        <v>74.202849999999998</v>
      </c>
      <c r="P19" s="40">
        <f t="shared" si="1"/>
        <v>890.43420000000003</v>
      </c>
    </row>
    <row r="20" spans="1:18" outlineLevel="2">
      <c r="A20" s="104"/>
      <c r="B20" s="12" t="s">
        <v>4</v>
      </c>
      <c r="C20" s="13">
        <v>76.866599999999977</v>
      </c>
      <c r="D20" s="13">
        <v>71.760000000000005</v>
      </c>
      <c r="E20" s="13">
        <v>73.957499999999996</v>
      </c>
      <c r="F20" s="13">
        <v>76.045000000000002</v>
      </c>
      <c r="G20" s="13">
        <v>75.742000000000004</v>
      </c>
      <c r="H20" s="13">
        <v>75.471000000000004</v>
      </c>
      <c r="I20" s="13">
        <v>72.490899999999996</v>
      </c>
      <c r="J20" s="13">
        <v>74.850400000000022</v>
      </c>
      <c r="K20" s="13">
        <v>72.995499999999993</v>
      </c>
      <c r="L20" s="13">
        <v>87.463700000000003</v>
      </c>
      <c r="M20" s="13">
        <v>168.07650000000001</v>
      </c>
      <c r="N20" s="14">
        <v>136.73330000000001</v>
      </c>
      <c r="O20" s="39">
        <f t="shared" si="0"/>
        <v>88.537700000000015</v>
      </c>
      <c r="P20" s="40">
        <f t="shared" si="1"/>
        <v>1062.4524000000001</v>
      </c>
    </row>
    <row r="21" spans="1:18" outlineLevel="2">
      <c r="A21" s="104"/>
      <c r="B21" s="12" t="s">
        <v>5</v>
      </c>
      <c r="C21" s="13">
        <v>76.797200000000004</v>
      </c>
      <c r="D21" s="13">
        <v>71.212000000000003</v>
      </c>
      <c r="E21" s="13">
        <v>72.111000000000004</v>
      </c>
      <c r="F21" s="13">
        <v>76.847000000000008</v>
      </c>
      <c r="G21" s="13"/>
      <c r="H21" s="13">
        <v>71.173999999999992</v>
      </c>
      <c r="I21" s="13">
        <v>75.260999999999996</v>
      </c>
      <c r="J21" s="13">
        <v>72.177999999999997</v>
      </c>
      <c r="K21" s="13">
        <v>73.48</v>
      </c>
      <c r="L21" s="13">
        <v>77.005400000000009</v>
      </c>
      <c r="M21" s="13">
        <v>84.439400000000006</v>
      </c>
      <c r="N21" s="14">
        <v>79.925099999999986</v>
      </c>
      <c r="O21" s="39">
        <f t="shared" si="0"/>
        <v>75.493645454545458</v>
      </c>
      <c r="P21" s="40">
        <f t="shared" si="1"/>
        <v>830.43010000000004</v>
      </c>
    </row>
    <row r="22" spans="1:18" outlineLevel="2">
      <c r="A22" s="104"/>
      <c r="B22" s="12" t="s">
        <v>6</v>
      </c>
      <c r="C22" s="12">
        <v>72.124600000000015</v>
      </c>
      <c r="D22" s="13">
        <v>82.27300000000001</v>
      </c>
      <c r="E22" s="13">
        <v>83.072300000000013</v>
      </c>
      <c r="F22" s="13">
        <v>83.084300000000013</v>
      </c>
      <c r="G22" s="13">
        <v>87.637299999999996</v>
      </c>
      <c r="H22" s="13">
        <v>82.071300000000008</v>
      </c>
      <c r="I22" s="13">
        <v>81.819300000000013</v>
      </c>
      <c r="J22" s="13">
        <v>87.754800000000017</v>
      </c>
      <c r="K22" s="13">
        <v>85.851000000000028</v>
      </c>
      <c r="L22" s="13">
        <v>85.320300000000017</v>
      </c>
      <c r="M22" s="13">
        <v>83.427300000000017</v>
      </c>
      <c r="N22" s="14">
        <v>127.28800000000001</v>
      </c>
      <c r="O22" s="39">
        <f t="shared" si="0"/>
        <v>86.810291666666672</v>
      </c>
      <c r="P22" s="40">
        <f t="shared" si="1"/>
        <v>1041.7235000000001</v>
      </c>
    </row>
    <row r="23" spans="1:18" outlineLevel="2">
      <c r="A23" s="104"/>
      <c r="B23" s="12" t="s">
        <v>7</v>
      </c>
      <c r="C23" s="13">
        <v>83.580199999999991</v>
      </c>
      <c r="D23" s="13">
        <v>74.673199999999994</v>
      </c>
      <c r="E23" s="13">
        <v>73.367699999999999</v>
      </c>
      <c r="F23" s="13">
        <v>87.605999999999995</v>
      </c>
      <c r="G23" s="13">
        <v>75.287700000000001</v>
      </c>
      <c r="H23" s="13">
        <v>80.099000000000004</v>
      </c>
      <c r="I23" s="13">
        <v>75.848300000000009</v>
      </c>
      <c r="J23" s="13">
        <v>77.91940000000001</v>
      </c>
      <c r="K23" s="13">
        <v>73.528700000000015</v>
      </c>
      <c r="L23" s="13">
        <v>75.037000000000006</v>
      </c>
      <c r="M23" s="13">
        <v>72.929000000000002</v>
      </c>
      <c r="N23" s="14">
        <v>75.166299999999993</v>
      </c>
      <c r="O23" s="39">
        <f t="shared" si="0"/>
        <v>77.086875000000006</v>
      </c>
      <c r="P23" s="40">
        <f t="shared" si="1"/>
        <v>925.04250000000002</v>
      </c>
    </row>
    <row r="24" spans="1:18" outlineLevel="2">
      <c r="A24" s="104"/>
      <c r="B24" s="12" t="s">
        <v>8</v>
      </c>
      <c r="C24" s="13">
        <v>106.32599999999999</v>
      </c>
      <c r="D24" s="13">
        <v>97.870699999999999</v>
      </c>
      <c r="E24" s="13">
        <v>97.7727</v>
      </c>
      <c r="F24" s="13">
        <v>98.006399999999985</v>
      </c>
      <c r="G24" s="13">
        <v>101.0928</v>
      </c>
      <c r="H24" s="13">
        <v>98.409400000000005</v>
      </c>
      <c r="I24" s="13">
        <v>97.875</v>
      </c>
      <c r="J24" s="13">
        <v>99.446299999999994</v>
      </c>
      <c r="K24" s="13">
        <v>98.177900000000008</v>
      </c>
      <c r="L24" s="13">
        <v>97.755300000000005</v>
      </c>
      <c r="M24" s="13">
        <v>98.399000000000015</v>
      </c>
      <c r="N24" s="14">
        <v>99.547600000000017</v>
      </c>
      <c r="O24" s="39">
        <f t="shared" si="0"/>
        <v>99.223258333333362</v>
      </c>
      <c r="P24" s="40">
        <f t="shared" si="1"/>
        <v>1190.6791000000003</v>
      </c>
    </row>
    <row r="25" spans="1:18" outlineLevel="2">
      <c r="A25" s="104"/>
      <c r="B25" s="12" t="s">
        <v>9</v>
      </c>
      <c r="C25" s="13">
        <v>109.1202</v>
      </c>
      <c r="D25" s="13">
        <v>97.415999999999997</v>
      </c>
      <c r="E25" s="13">
        <v>98.660200000000003</v>
      </c>
      <c r="F25" s="13">
        <v>98.557199999999995</v>
      </c>
      <c r="G25" s="13">
        <v>98.091700000000003</v>
      </c>
      <c r="H25" s="13">
        <v>97.835999999999999</v>
      </c>
      <c r="I25" s="13">
        <v>98.99799999999999</v>
      </c>
      <c r="J25" s="13">
        <v>97.926099999999991</v>
      </c>
      <c r="K25" s="13">
        <v>97.953299999999999</v>
      </c>
      <c r="L25" s="13">
        <v>99.348399999999998</v>
      </c>
      <c r="M25" s="13">
        <v>97.808700000000002</v>
      </c>
      <c r="N25" s="14">
        <v>99.272200000000012</v>
      </c>
      <c r="O25" s="39">
        <f t="shared" si="0"/>
        <v>99.249000000000009</v>
      </c>
      <c r="P25" s="40">
        <f t="shared" si="1"/>
        <v>1190.9880000000001</v>
      </c>
    </row>
    <row r="26" spans="1:18" outlineLevel="2">
      <c r="A26" s="104"/>
      <c r="B26" s="12" t="s">
        <v>10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>
        <v>56.746800000000007</v>
      </c>
      <c r="N26" s="14">
        <v>93.863</v>
      </c>
      <c r="O26" s="39">
        <f t="shared" si="0"/>
        <v>75.304900000000004</v>
      </c>
      <c r="P26" s="40">
        <f t="shared" si="1"/>
        <v>150.60980000000001</v>
      </c>
    </row>
    <row r="27" spans="1:18" ht="15" outlineLevel="1" thickBot="1">
      <c r="A27" s="22" t="s">
        <v>32</v>
      </c>
      <c r="B27" s="17"/>
      <c r="C27" s="17">
        <f t="shared" ref="C27:N27" si="4">SUBTOTAL(9,C17:C26)</f>
        <v>770.34009999999989</v>
      </c>
      <c r="D27" s="17">
        <f t="shared" si="4"/>
        <v>733.08719999999994</v>
      </c>
      <c r="E27" s="17">
        <f t="shared" si="4"/>
        <v>738.9747000000001</v>
      </c>
      <c r="F27" s="17">
        <f t="shared" si="4"/>
        <v>765.31979999999999</v>
      </c>
      <c r="G27" s="17">
        <f t="shared" si="4"/>
        <v>681.82709999999997</v>
      </c>
      <c r="H27" s="17">
        <f t="shared" si="4"/>
        <v>752.55500000000006</v>
      </c>
      <c r="I27" s="17">
        <f t="shared" si="4"/>
        <v>740.23230000000012</v>
      </c>
      <c r="J27" s="17">
        <f t="shared" si="4"/>
        <v>751.15100000000007</v>
      </c>
      <c r="K27" s="17">
        <f t="shared" si="4"/>
        <v>757.8107</v>
      </c>
      <c r="L27" s="17">
        <f t="shared" si="4"/>
        <v>766.19960000000003</v>
      </c>
      <c r="M27" s="17">
        <f t="shared" si="4"/>
        <v>907.83810000000005</v>
      </c>
      <c r="N27" s="23">
        <f t="shared" si="4"/>
        <v>942.4212</v>
      </c>
      <c r="O27" s="41">
        <f t="shared" si="0"/>
        <v>775.64640000000009</v>
      </c>
      <c r="P27" s="46">
        <f t="shared" si="1"/>
        <v>9307.756800000001</v>
      </c>
      <c r="R27" s="20">
        <f>AVERAGE(C17:N26)</f>
        <v>85.392264220183463</v>
      </c>
    </row>
    <row r="28" spans="1:18" outlineLevel="2">
      <c r="A28" s="103" t="s">
        <v>18</v>
      </c>
      <c r="B28" s="9" t="s">
        <v>19</v>
      </c>
      <c r="C28" s="10">
        <v>67.184700000000007</v>
      </c>
      <c r="D28" s="10">
        <v>68.344399999999993</v>
      </c>
      <c r="E28" s="10">
        <v>76.187100000000001</v>
      </c>
      <c r="F28" s="10">
        <v>75.402799999999999</v>
      </c>
      <c r="G28" s="10">
        <v>63.241</v>
      </c>
      <c r="H28" s="10">
        <v>62.113</v>
      </c>
      <c r="I28" s="10">
        <v>77.116699999999994</v>
      </c>
      <c r="J28" s="10">
        <v>63.159300000000002</v>
      </c>
      <c r="K28" s="10">
        <v>64.63</v>
      </c>
      <c r="L28" s="10">
        <v>71.24799999999999</v>
      </c>
      <c r="M28" s="10">
        <v>67.263999999999996</v>
      </c>
      <c r="N28" s="11">
        <v>71.446299999999994</v>
      </c>
      <c r="O28" s="45">
        <f t="shared" si="0"/>
        <v>68.944774999999993</v>
      </c>
      <c r="P28" s="36">
        <f t="shared" si="1"/>
        <v>827.33729999999991</v>
      </c>
    </row>
    <row r="29" spans="1:18" outlineLevel="2">
      <c r="A29" s="104"/>
      <c r="B29" s="12" t="s">
        <v>20</v>
      </c>
      <c r="C29" s="13">
        <v>57.056000000000004</v>
      </c>
      <c r="D29" s="13">
        <v>53.556000000000004</v>
      </c>
      <c r="E29" s="13">
        <v>53.556000000000004</v>
      </c>
      <c r="F29" s="13">
        <v>53.556000000000004</v>
      </c>
      <c r="G29" s="13">
        <v>53.556000000000004</v>
      </c>
      <c r="H29" s="13">
        <v>53.556000000000004</v>
      </c>
      <c r="I29" s="13">
        <v>53.556000000000004</v>
      </c>
      <c r="J29" s="13">
        <v>53.556000000000004</v>
      </c>
      <c r="K29" s="13">
        <v>53.556000000000004</v>
      </c>
      <c r="L29" s="13">
        <v>53.556000000000004</v>
      </c>
      <c r="M29" s="13">
        <v>53.730000000000011</v>
      </c>
      <c r="N29" s="14">
        <v>53.556000000000004</v>
      </c>
      <c r="O29" s="39">
        <f t="shared" si="0"/>
        <v>53.862166666666667</v>
      </c>
      <c r="P29" s="40">
        <f t="shared" si="1"/>
        <v>646.346</v>
      </c>
    </row>
    <row r="30" spans="1:18" outlineLevel="2">
      <c r="A30" s="104"/>
      <c r="B30" s="12" t="s">
        <v>38</v>
      </c>
      <c r="C30" s="13">
        <v>56.369000000000007</v>
      </c>
      <c r="D30" s="13">
        <v>53.982000000000006</v>
      </c>
      <c r="E30" s="13">
        <v>54.399000000000008</v>
      </c>
      <c r="F30" s="13">
        <v>54.434999999999995</v>
      </c>
      <c r="G30" s="97">
        <v>101.81029999999998</v>
      </c>
      <c r="H30" s="97">
        <v>125.80000000000001</v>
      </c>
      <c r="I30" s="97">
        <v>144.05500000000001</v>
      </c>
      <c r="J30" s="97">
        <v>108.327</v>
      </c>
      <c r="K30" s="97">
        <v>112.20130000000002</v>
      </c>
      <c r="L30" s="97">
        <v>107.79029999999997</v>
      </c>
      <c r="M30" s="97">
        <v>108.61369999999999</v>
      </c>
      <c r="N30" s="99">
        <v>108.25199999999998</v>
      </c>
      <c r="O30" s="101">
        <f t="shared" si="0"/>
        <v>94.669550000000001</v>
      </c>
      <c r="P30" s="102">
        <f>SUM(C30:N30)</f>
        <v>1136.0346</v>
      </c>
    </row>
    <row r="31" spans="1:18" outlineLevel="2">
      <c r="A31" s="104"/>
      <c r="B31" s="12" t="s">
        <v>39</v>
      </c>
      <c r="C31" s="13"/>
      <c r="D31" s="13"/>
      <c r="E31" s="13"/>
      <c r="F31" s="13"/>
      <c r="G31" s="98"/>
      <c r="H31" s="98"/>
      <c r="I31" s="98"/>
      <c r="J31" s="98"/>
      <c r="K31" s="98"/>
      <c r="L31" s="98"/>
      <c r="M31" s="98"/>
      <c r="N31" s="100"/>
      <c r="O31" s="101"/>
      <c r="P31" s="102"/>
    </row>
    <row r="32" spans="1:18" ht="15" outlineLevel="1" thickBot="1">
      <c r="A32" s="22" t="s">
        <v>33</v>
      </c>
      <c r="B32" s="17"/>
      <c r="C32" s="18">
        <f t="shared" ref="C32:N32" si="5">SUBTOTAL(9,C28:C31)</f>
        <v>180.6097</v>
      </c>
      <c r="D32" s="18">
        <f t="shared" si="5"/>
        <v>175.88239999999999</v>
      </c>
      <c r="E32" s="18">
        <f t="shared" si="5"/>
        <v>184.1421</v>
      </c>
      <c r="F32" s="18">
        <f t="shared" si="5"/>
        <v>183.3938</v>
      </c>
      <c r="G32" s="18">
        <f t="shared" si="5"/>
        <v>218.60729999999998</v>
      </c>
      <c r="H32" s="18">
        <f t="shared" si="5"/>
        <v>241.46900000000002</v>
      </c>
      <c r="I32" s="18">
        <f t="shared" si="5"/>
        <v>274.72770000000003</v>
      </c>
      <c r="J32" s="18">
        <f t="shared" si="5"/>
        <v>225.04230000000001</v>
      </c>
      <c r="K32" s="18">
        <f t="shared" si="5"/>
        <v>230.38730000000004</v>
      </c>
      <c r="L32" s="18">
        <f t="shared" si="5"/>
        <v>232.59429999999998</v>
      </c>
      <c r="M32" s="18">
        <f t="shared" si="5"/>
        <v>229.60769999999999</v>
      </c>
      <c r="N32" s="19">
        <f t="shared" si="5"/>
        <v>233.25429999999997</v>
      </c>
      <c r="O32" s="41">
        <f>AVERAGE(C32:N32)</f>
        <v>217.47649166666667</v>
      </c>
      <c r="P32" s="46">
        <f>SUM(C32:N32)</f>
        <v>2609.7179000000001</v>
      </c>
      <c r="R32" s="20">
        <f>AVERAGE(C28:N31)</f>
        <v>72.492163888888896</v>
      </c>
    </row>
    <row r="33" spans="1:16" ht="15" outlineLevel="1" thickBo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47"/>
      <c r="P33" s="48"/>
    </row>
    <row r="34" spans="1:16" ht="15" thickBot="1">
      <c r="A34" s="28" t="s">
        <v>27</v>
      </c>
      <c r="B34" s="29"/>
      <c r="C34" s="30">
        <f t="shared" ref="C34:N34" si="6">SUBTOTAL(9,C2:C31)</f>
        <v>5003.1059999999998</v>
      </c>
      <c r="D34" s="30">
        <f t="shared" si="6"/>
        <v>4456.647100000001</v>
      </c>
      <c r="E34" s="30">
        <f t="shared" si="6"/>
        <v>4485.0256000000008</v>
      </c>
      <c r="F34" s="30">
        <f t="shared" si="6"/>
        <v>4654.0553</v>
      </c>
      <c r="G34" s="30">
        <f t="shared" si="6"/>
        <v>4523.2837999999992</v>
      </c>
      <c r="H34" s="30">
        <f t="shared" si="6"/>
        <v>4677.6232</v>
      </c>
      <c r="I34" s="30">
        <f t="shared" si="6"/>
        <v>4681.883899999998</v>
      </c>
      <c r="J34" s="30">
        <f t="shared" si="6"/>
        <v>4717.0754999999981</v>
      </c>
      <c r="K34" s="30">
        <f t="shared" si="6"/>
        <v>4646.3926999999994</v>
      </c>
      <c r="L34" s="30">
        <f t="shared" si="6"/>
        <v>4674.3659999999982</v>
      </c>
      <c r="M34" s="30">
        <f t="shared" si="6"/>
        <v>4826.2572999999993</v>
      </c>
      <c r="N34" s="31">
        <f t="shared" si="6"/>
        <v>4908.3259999999991</v>
      </c>
      <c r="O34" s="43">
        <f>AVERAGE(C34:N34)</f>
        <v>4687.8368666666656</v>
      </c>
      <c r="P34" s="44">
        <f t="shared" si="1"/>
        <v>56254.042399999991</v>
      </c>
    </row>
    <row r="35" spans="1:16" ht="15" thickBo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2"/>
      <c r="O35" s="47"/>
      <c r="P35" s="48"/>
    </row>
    <row r="36" spans="1:16" s="2" customFormat="1" ht="15" thickBot="1">
      <c r="A36" s="33" t="s">
        <v>26</v>
      </c>
      <c r="B36" s="29"/>
      <c r="C36" s="30">
        <v>4984.3701000000001</v>
      </c>
      <c r="D36" s="30">
        <v>4456.4669999999996</v>
      </c>
      <c r="E36" s="30">
        <v>4485.0254999999997</v>
      </c>
      <c r="F36" s="30">
        <v>4654.0553</v>
      </c>
      <c r="G36" s="30">
        <v>4653.4430000000002</v>
      </c>
      <c r="H36" s="30">
        <v>4677.6232</v>
      </c>
      <c r="I36" s="30">
        <v>4681.8838999999998</v>
      </c>
      <c r="J36" s="30">
        <v>4717.0756000000001</v>
      </c>
      <c r="K36" s="30">
        <v>4646.3927000000003</v>
      </c>
      <c r="L36" s="30">
        <v>4674.366</v>
      </c>
      <c r="M36" s="30">
        <v>4769.5105000000003</v>
      </c>
      <c r="N36" s="31">
        <v>4814.4629999999997</v>
      </c>
      <c r="O36" s="43">
        <f>AVERAGE(C36:N36)</f>
        <v>4684.5563166666661</v>
      </c>
      <c r="P36" s="44">
        <f t="shared" si="1"/>
        <v>56214.675799999997</v>
      </c>
    </row>
    <row r="41" spans="1:16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4">
    <mergeCell ref="A28:A31"/>
    <mergeCell ref="A2:A6"/>
    <mergeCell ref="A8:A15"/>
    <mergeCell ref="A17:A26"/>
    <mergeCell ref="G30:G31"/>
    <mergeCell ref="M30:M31"/>
    <mergeCell ref="N30:N31"/>
    <mergeCell ref="O30:O31"/>
    <mergeCell ref="P30:P31"/>
    <mergeCell ref="H30:H31"/>
    <mergeCell ref="I30:I31"/>
    <mergeCell ref="J30:J31"/>
    <mergeCell ref="K30:K31"/>
    <mergeCell ref="L30:L3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0"/>
  <sheetViews>
    <sheetView tabSelected="1" topLeftCell="A31" workbookViewId="0">
      <selection activeCell="G31" activeCellId="1" sqref="B1:C1048576 G1:G1048576"/>
    </sheetView>
  </sheetViews>
  <sheetFormatPr baseColWidth="10" defaultColWidth="11.44140625" defaultRowHeight="14.4" outlineLevelRow="2"/>
  <cols>
    <col min="1" max="1" width="25.44140625" style="35" customWidth="1"/>
    <col min="2" max="2" width="10" style="35" bestFit="1" customWidth="1"/>
    <col min="3" max="3" width="15" style="35" bestFit="1" customWidth="1"/>
    <col min="4" max="4" width="14.109375" style="35" bestFit="1" customWidth="1"/>
    <col min="5" max="5" width="13.6640625" style="79" bestFit="1" customWidth="1"/>
    <col min="6" max="7" width="12.6640625" style="79" bestFit="1" customWidth="1"/>
    <col min="8" max="10" width="12" style="79" bestFit="1" customWidth="1"/>
    <col min="11" max="11" width="12.5546875" style="79" bestFit="1" customWidth="1"/>
    <col min="12" max="14" width="11.5546875" style="79" bestFit="1" customWidth="1"/>
    <col min="15" max="15" width="12.33203125" style="79" bestFit="1" customWidth="1"/>
    <col min="16" max="16" width="11.5546875" style="79" bestFit="1" customWidth="1"/>
    <col min="17" max="17" width="14.109375" style="79" bestFit="1" customWidth="1"/>
    <col min="18" max="18" width="12.5546875" style="79" bestFit="1" customWidth="1"/>
    <col min="19" max="16384" width="11.44140625" style="35"/>
  </cols>
  <sheetData>
    <row r="1" spans="1:18" ht="15" thickBot="1">
      <c r="A1" s="3"/>
      <c r="B1" s="78" t="s">
        <v>47</v>
      </c>
      <c r="C1" s="3"/>
      <c r="D1" s="5" t="str">
        <f>'Control Consumo R - 2019'!Q1</f>
        <v>Promedio 2019</v>
      </c>
      <c r="E1" s="5">
        <v>43831</v>
      </c>
      <c r="F1" s="5">
        <v>43862</v>
      </c>
      <c r="G1" s="5">
        <v>43891</v>
      </c>
      <c r="H1" s="5">
        <v>43922</v>
      </c>
      <c r="I1" s="5">
        <v>43952</v>
      </c>
      <c r="J1" s="5">
        <v>43983</v>
      </c>
      <c r="K1" s="5">
        <v>44013</v>
      </c>
      <c r="L1" s="5">
        <v>44044</v>
      </c>
      <c r="M1" s="5">
        <v>44075</v>
      </c>
      <c r="N1" s="5">
        <v>44105</v>
      </c>
      <c r="O1" s="5">
        <v>44136</v>
      </c>
      <c r="P1" s="5">
        <v>44166</v>
      </c>
      <c r="Q1" s="42" t="s">
        <v>77</v>
      </c>
      <c r="R1" s="34" t="s">
        <v>78</v>
      </c>
    </row>
    <row r="2" spans="1:18" outlineLevel="2">
      <c r="A2" s="105" t="s">
        <v>0</v>
      </c>
      <c r="B2" s="73">
        <v>62910182</v>
      </c>
      <c r="C2" s="9" t="s">
        <v>22</v>
      </c>
      <c r="D2" s="10">
        <f>'Control Consumo R - 2019'!Q2</f>
        <v>1145.3897256666667</v>
      </c>
      <c r="E2" s="10">
        <v>1163.8672999999999</v>
      </c>
      <c r="F2" s="10">
        <f>736.799565-48</f>
        <v>688.79956500000003</v>
      </c>
      <c r="G2" s="10">
        <v>903.00659999999993</v>
      </c>
      <c r="H2" s="10"/>
      <c r="I2" s="10"/>
      <c r="J2" s="10"/>
      <c r="K2" s="10"/>
      <c r="L2" s="10"/>
      <c r="M2" s="10"/>
      <c r="N2" s="10"/>
      <c r="O2" s="10"/>
      <c r="P2" s="11"/>
      <c r="Q2" s="45">
        <f t="shared" ref="Q2:Q48" si="0">AVERAGE(E2:P2)</f>
        <v>918.55782166666665</v>
      </c>
      <c r="R2" s="36">
        <f>SUM(E2:P2)</f>
        <v>2755.6734649999999</v>
      </c>
    </row>
    <row r="3" spans="1:18" outlineLevel="2">
      <c r="A3" s="106"/>
      <c r="B3" s="80">
        <v>62910036</v>
      </c>
      <c r="C3" s="12" t="s">
        <v>21</v>
      </c>
      <c r="D3" s="13">
        <f>'Control Consumo R - 2019'!Q3+80</f>
        <v>230.30833333333334</v>
      </c>
      <c r="E3" s="13">
        <v>72</v>
      </c>
      <c r="F3" s="13">
        <f>96+48</f>
        <v>144</v>
      </c>
      <c r="G3" s="13">
        <v>168</v>
      </c>
      <c r="H3" s="13"/>
      <c r="I3" s="13"/>
      <c r="J3" s="95"/>
      <c r="K3" s="13"/>
      <c r="L3" s="13"/>
      <c r="M3" s="13"/>
      <c r="N3" s="13"/>
      <c r="O3" s="13"/>
      <c r="P3" s="14"/>
      <c r="Q3" s="39">
        <f t="shared" si="0"/>
        <v>128</v>
      </c>
      <c r="R3" s="40">
        <f t="shared" ref="R3:R53" si="1">SUM(E3:P3)</f>
        <v>384</v>
      </c>
    </row>
    <row r="4" spans="1:18" outlineLevel="2">
      <c r="A4" s="106"/>
      <c r="B4" s="72">
        <v>62910182</v>
      </c>
      <c r="C4" s="12" t="s">
        <v>25</v>
      </c>
      <c r="D4" s="13">
        <f>'Control Consumo R - 2019'!Q4</f>
        <v>4534.3241420833338</v>
      </c>
      <c r="E4" s="13">
        <v>5024.4409729999998</v>
      </c>
      <c r="F4" s="13">
        <v>5064.78</v>
      </c>
      <c r="G4" s="13">
        <v>4714.78</v>
      </c>
      <c r="H4" s="13"/>
      <c r="I4" s="13"/>
      <c r="J4" s="13"/>
      <c r="K4" s="13"/>
      <c r="L4" s="13"/>
      <c r="M4" s="13"/>
      <c r="N4" s="13"/>
      <c r="O4" s="13"/>
      <c r="P4" s="14"/>
      <c r="Q4" s="39">
        <f t="shared" si="0"/>
        <v>4934.6669909999991</v>
      </c>
      <c r="R4" s="40">
        <f t="shared" ref="R4:R7" si="2">SUM(E4:P4)</f>
        <v>14804.000972999998</v>
      </c>
    </row>
    <row r="5" spans="1:18" outlineLevel="2">
      <c r="A5" s="106"/>
      <c r="B5" s="73">
        <v>62910182</v>
      </c>
      <c r="C5" s="12" t="s">
        <v>57</v>
      </c>
      <c r="D5" s="13">
        <f>'Control Consumo R - 2019'!Q5</f>
        <v>91.576160000000002</v>
      </c>
      <c r="E5" s="13">
        <v>69</v>
      </c>
      <c r="F5" s="13">
        <v>69</v>
      </c>
      <c r="G5" s="13">
        <v>57</v>
      </c>
      <c r="H5" s="13"/>
      <c r="I5" s="13"/>
      <c r="J5" s="13"/>
      <c r="K5" s="13"/>
      <c r="L5" s="13"/>
      <c r="M5" s="13"/>
      <c r="N5" s="13"/>
      <c r="O5" s="13"/>
      <c r="P5" s="14"/>
      <c r="Q5" s="39">
        <f t="shared" si="0"/>
        <v>65</v>
      </c>
      <c r="R5" s="40">
        <f t="shared" si="2"/>
        <v>195</v>
      </c>
    </row>
    <row r="6" spans="1:18" outlineLevel="2">
      <c r="A6" s="106"/>
      <c r="B6" s="72">
        <v>62910182</v>
      </c>
      <c r="C6" s="12" t="s">
        <v>34</v>
      </c>
      <c r="D6" s="13">
        <f>'Control Consumo R - 2019'!Q6</f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39" t="e">
        <f t="shared" si="0"/>
        <v>#DIV/0!</v>
      </c>
      <c r="R6" s="40">
        <f t="shared" si="2"/>
        <v>0</v>
      </c>
    </row>
    <row r="7" spans="1:18" outlineLevel="2">
      <c r="A7" s="107"/>
      <c r="B7" s="72">
        <v>62910182</v>
      </c>
      <c r="C7" s="12" t="s">
        <v>72</v>
      </c>
      <c r="D7" s="13">
        <f>'Control Consumo R - 2019'!Q7</f>
        <v>32.13995966666667</v>
      </c>
      <c r="E7" s="13">
        <v>180.63676799999999</v>
      </c>
      <c r="F7" s="13">
        <v>149.59508699999998</v>
      </c>
      <c r="G7" s="13">
        <v>4.2254999999999967</v>
      </c>
      <c r="H7" s="13"/>
      <c r="I7" s="13"/>
      <c r="J7" s="13"/>
      <c r="K7" s="13"/>
      <c r="L7" s="13"/>
      <c r="M7" s="13"/>
      <c r="N7" s="13"/>
      <c r="O7" s="13"/>
      <c r="P7" s="14"/>
      <c r="Q7" s="39">
        <f t="shared" si="0"/>
        <v>111.48578500000001</v>
      </c>
      <c r="R7" s="40">
        <f t="shared" si="2"/>
        <v>334.45735500000001</v>
      </c>
    </row>
    <row r="8" spans="1:18" ht="15" outlineLevel="1" thickBot="1">
      <c r="A8" s="16" t="s">
        <v>28</v>
      </c>
      <c r="B8" s="65">
        <v>62910182</v>
      </c>
      <c r="C8" s="17"/>
      <c r="D8" s="18">
        <f>'Control Consumo R - 2019'!Q8</f>
        <v>5953.7383207500006</v>
      </c>
      <c r="E8" s="18">
        <f>SUBTOTAL(9,E2:E7)</f>
        <v>6509.9450409999999</v>
      </c>
      <c r="F8" s="18">
        <f t="shared" ref="F8:P8" si="3">SUBTOTAL(9,F2:F7)</f>
        <v>6116.1746519999997</v>
      </c>
      <c r="G8" s="18">
        <f t="shared" si="3"/>
        <v>5847.012099999999</v>
      </c>
      <c r="H8" s="18">
        <f t="shared" si="3"/>
        <v>0</v>
      </c>
      <c r="I8" s="18">
        <f t="shared" si="3"/>
        <v>0</v>
      </c>
      <c r="J8" s="18">
        <f t="shared" si="3"/>
        <v>0</v>
      </c>
      <c r="K8" s="18">
        <f>SUBTOTAL(9,K2:K7)</f>
        <v>0</v>
      </c>
      <c r="L8" s="18">
        <f t="shared" si="3"/>
        <v>0</v>
      </c>
      <c r="M8" s="18">
        <f t="shared" si="3"/>
        <v>0</v>
      </c>
      <c r="N8" s="18">
        <f t="shared" si="3"/>
        <v>0</v>
      </c>
      <c r="O8" s="18">
        <f t="shared" si="3"/>
        <v>0</v>
      </c>
      <c r="P8" s="19">
        <f t="shared" si="3"/>
        <v>0</v>
      </c>
      <c r="Q8" s="41" t="e">
        <f>SUM(Q2:Q7)</f>
        <v>#DIV/0!</v>
      </c>
      <c r="R8" s="46">
        <f t="shared" si="1"/>
        <v>18473.131793</v>
      </c>
    </row>
    <row r="9" spans="1:18" outlineLevel="2">
      <c r="A9" s="103" t="s">
        <v>29</v>
      </c>
      <c r="B9" s="66">
        <v>62910106</v>
      </c>
      <c r="C9" s="21" t="s">
        <v>11</v>
      </c>
      <c r="D9" s="10">
        <f>'Control Consumo R - 2019'!Q9</f>
        <v>37.016199999999991</v>
      </c>
      <c r="E9" s="10">
        <v>37.1312</v>
      </c>
      <c r="F9" s="10">
        <v>38.033200000000001</v>
      </c>
      <c r="G9" s="10">
        <v>37</v>
      </c>
      <c r="H9" s="10"/>
      <c r="I9" s="10"/>
      <c r="J9" s="10"/>
      <c r="K9" s="10"/>
      <c r="L9" s="10"/>
      <c r="M9" s="10"/>
      <c r="N9" s="10"/>
      <c r="O9" s="10"/>
      <c r="P9" s="11"/>
      <c r="Q9" s="45">
        <f t="shared" si="0"/>
        <v>37.388133333333336</v>
      </c>
      <c r="R9" s="36">
        <f t="shared" si="1"/>
        <v>112.1644</v>
      </c>
    </row>
    <row r="10" spans="1:18" outlineLevel="2">
      <c r="A10" s="104"/>
      <c r="B10" s="67">
        <v>62910104</v>
      </c>
      <c r="C10" s="12" t="s">
        <v>12</v>
      </c>
      <c r="D10" s="13">
        <f>'Control Consumo R - 2019'!Q10</f>
        <v>71.661083333333337</v>
      </c>
      <c r="E10" s="13">
        <v>70.260000000000005</v>
      </c>
      <c r="F10" s="13">
        <v>87.990003999999999</v>
      </c>
      <c r="G10" s="13">
        <v>67</v>
      </c>
      <c r="H10" s="13"/>
      <c r="I10" s="13"/>
      <c r="J10" s="13"/>
      <c r="K10" s="13"/>
      <c r="L10" s="13"/>
      <c r="M10" s="13"/>
      <c r="N10" s="13"/>
      <c r="O10" s="13"/>
      <c r="P10" s="14"/>
      <c r="Q10" s="39">
        <f t="shared" si="0"/>
        <v>75.083334666666659</v>
      </c>
      <c r="R10" s="40">
        <f t="shared" si="1"/>
        <v>225.25000399999999</v>
      </c>
    </row>
    <row r="11" spans="1:18" outlineLevel="2">
      <c r="A11" s="104"/>
      <c r="B11" s="67">
        <v>62910102</v>
      </c>
      <c r="C11" s="12" t="s">
        <v>13</v>
      </c>
      <c r="D11" s="13">
        <f>'Control Consumo R - 2019'!Q11</f>
        <v>66.63192500000001</v>
      </c>
      <c r="E11" s="13">
        <v>66.501199999999997</v>
      </c>
      <c r="F11" s="13">
        <v>66.501199999999997</v>
      </c>
      <c r="G11" s="13">
        <v>73.5</v>
      </c>
      <c r="H11" s="13"/>
      <c r="I11" s="13"/>
      <c r="J11" s="13"/>
      <c r="K11" s="88"/>
      <c r="L11" s="88"/>
      <c r="M11" s="13"/>
      <c r="N11" s="13"/>
      <c r="O11" s="13"/>
      <c r="P11" s="14"/>
      <c r="Q11" s="39">
        <f t="shared" si="0"/>
        <v>68.834133333333327</v>
      </c>
      <c r="R11" s="40">
        <f t="shared" si="1"/>
        <v>206.50239999999999</v>
      </c>
    </row>
    <row r="12" spans="1:18" outlineLevel="2">
      <c r="A12" s="104"/>
      <c r="B12" s="67">
        <v>62910105</v>
      </c>
      <c r="C12" s="12" t="s">
        <v>14</v>
      </c>
      <c r="D12" s="13">
        <f>'Control Consumo R - 2019'!Q12</f>
        <v>43.932333333333332</v>
      </c>
      <c r="E12" s="13">
        <v>43.002000000000002</v>
      </c>
      <c r="F12" s="13">
        <v>42.881999999999998</v>
      </c>
      <c r="G12" s="13">
        <v>41.56</v>
      </c>
      <c r="H12" s="13"/>
      <c r="I12" s="13"/>
      <c r="J12" s="13"/>
      <c r="K12" s="13"/>
      <c r="L12" s="13"/>
      <c r="M12" s="13"/>
      <c r="N12" s="13"/>
      <c r="O12" s="13"/>
      <c r="P12" s="14"/>
      <c r="Q12" s="39">
        <f t="shared" si="0"/>
        <v>42.481333333333332</v>
      </c>
      <c r="R12" s="40">
        <f t="shared" si="1"/>
        <v>127.444</v>
      </c>
    </row>
    <row r="13" spans="1:18" outlineLevel="2">
      <c r="A13" s="104"/>
      <c r="B13" s="67">
        <v>62910103</v>
      </c>
      <c r="C13" s="12" t="s">
        <v>15</v>
      </c>
      <c r="D13" s="13">
        <f>'Control Consumo R - 2019'!Q13</f>
        <v>36.177158333333338</v>
      </c>
      <c r="E13" s="13">
        <v>34.499200000000002</v>
      </c>
      <c r="F13" s="13">
        <v>34.956500000000005</v>
      </c>
      <c r="G13" s="13">
        <v>34.731999999999999</v>
      </c>
      <c r="H13" s="13"/>
      <c r="I13" s="13"/>
      <c r="J13" s="13"/>
      <c r="K13" s="13"/>
      <c r="L13" s="13"/>
      <c r="M13" s="13"/>
      <c r="N13" s="13"/>
      <c r="O13" s="13"/>
      <c r="P13" s="14"/>
      <c r="Q13" s="39">
        <f t="shared" si="0"/>
        <v>34.729233333333333</v>
      </c>
      <c r="R13" s="40">
        <f t="shared" si="1"/>
        <v>104.18770000000001</v>
      </c>
    </row>
    <row r="14" spans="1:18" outlineLevel="2">
      <c r="A14" s="104"/>
      <c r="B14" s="67">
        <v>62910110</v>
      </c>
      <c r="C14" s="12" t="s">
        <v>16</v>
      </c>
      <c r="D14" s="13">
        <f>'Control Consumo R - 2019'!Q14</f>
        <v>34.739491666666659</v>
      </c>
      <c r="E14" s="13">
        <v>34.953900000000004</v>
      </c>
      <c r="F14" s="13">
        <v>34.499200000000002</v>
      </c>
      <c r="G14" s="13">
        <v>34.5</v>
      </c>
      <c r="H14" s="13"/>
      <c r="I14" s="13"/>
      <c r="J14" s="13"/>
      <c r="K14" s="13"/>
      <c r="L14" s="13"/>
      <c r="M14" s="13"/>
      <c r="N14" s="13"/>
      <c r="O14" s="13"/>
      <c r="P14" s="14"/>
      <c r="Q14" s="39">
        <f t="shared" si="0"/>
        <v>34.651033333333338</v>
      </c>
      <c r="R14" s="40">
        <f t="shared" ref="R14:R19" si="4">SUM(E14:P14)</f>
        <v>103.95310000000001</v>
      </c>
    </row>
    <row r="15" spans="1:18" outlineLevel="2">
      <c r="A15" s="104"/>
      <c r="B15" s="67">
        <v>62910107</v>
      </c>
      <c r="C15" s="12" t="s">
        <v>23</v>
      </c>
      <c r="D15" s="13">
        <f>'Control Consumo R - 2019'!Q15</f>
        <v>35.115024999999996</v>
      </c>
      <c r="E15" s="13">
        <v>35.067800000000005</v>
      </c>
      <c r="F15" s="13">
        <v>35.041200000000003</v>
      </c>
      <c r="G15" s="13">
        <v>35</v>
      </c>
      <c r="H15" s="13"/>
      <c r="I15" s="13"/>
      <c r="J15" s="13"/>
      <c r="K15" s="13"/>
      <c r="L15" s="13"/>
      <c r="M15" s="13"/>
      <c r="N15" s="13"/>
      <c r="O15" s="13"/>
      <c r="P15" s="14"/>
      <c r="Q15" s="39">
        <f t="shared" si="0"/>
        <v>35.036333333333339</v>
      </c>
      <c r="R15" s="40">
        <f t="shared" si="4"/>
        <v>105.10900000000001</v>
      </c>
    </row>
    <row r="16" spans="1:18" outlineLevel="2">
      <c r="A16" s="104"/>
      <c r="B16" s="67">
        <v>62910114</v>
      </c>
      <c r="C16" s="12" t="s">
        <v>17</v>
      </c>
      <c r="D16" s="13">
        <f>'Control Consumo R - 2019'!Q16</f>
        <v>44.84684166666667</v>
      </c>
      <c r="E16" s="13">
        <v>44.5</v>
      </c>
      <c r="F16" s="13">
        <v>44.607999999999997</v>
      </c>
      <c r="G16" s="13">
        <v>44.08</v>
      </c>
      <c r="H16" s="13"/>
      <c r="I16" s="13"/>
      <c r="J16" s="13"/>
      <c r="K16" s="88"/>
      <c r="L16" s="88"/>
      <c r="M16" s="13"/>
      <c r="N16" s="13"/>
      <c r="O16" s="13"/>
      <c r="P16" s="14"/>
      <c r="Q16" s="39">
        <f t="shared" si="0"/>
        <v>44.395999999999994</v>
      </c>
      <c r="R16" s="40">
        <f t="shared" si="4"/>
        <v>133.18799999999999</v>
      </c>
    </row>
    <row r="17" spans="1:18" outlineLevel="2">
      <c r="A17" s="104"/>
      <c r="B17" s="67">
        <v>62910236</v>
      </c>
      <c r="C17" s="12" t="s">
        <v>43</v>
      </c>
      <c r="D17" s="13">
        <f>'Control Consumo R - 2019'!Q17</f>
        <v>47.569558333333333</v>
      </c>
      <c r="E17" s="13">
        <v>46.841999999999999</v>
      </c>
      <c r="F17" s="13">
        <v>48.79</v>
      </c>
      <c r="G17" s="13">
        <v>74.736000000000004</v>
      </c>
      <c r="H17" s="13"/>
      <c r="I17" s="13"/>
      <c r="J17" s="13"/>
      <c r="K17" s="13"/>
      <c r="L17" s="13"/>
      <c r="M17" s="13"/>
      <c r="N17" s="13"/>
      <c r="O17" s="13"/>
      <c r="P17" s="14"/>
      <c r="Q17" s="39">
        <f t="shared" si="0"/>
        <v>56.789333333333332</v>
      </c>
      <c r="R17" s="40">
        <f t="shared" si="4"/>
        <v>170.36799999999999</v>
      </c>
    </row>
    <row r="18" spans="1:18" outlineLevel="2">
      <c r="A18" s="104"/>
      <c r="B18" s="67">
        <v>62910239</v>
      </c>
      <c r="C18" s="12" t="s">
        <v>54</v>
      </c>
      <c r="D18" s="13">
        <f>'Control Consumo R - 2019'!Q18</f>
        <v>118.63346283333334</v>
      </c>
      <c r="E18" s="13">
        <v>95.383604000000005</v>
      </c>
      <c r="F18" s="13">
        <v>95.959603999999999</v>
      </c>
      <c r="G18" s="13">
        <v>108.99270899999999</v>
      </c>
      <c r="H18" s="13"/>
      <c r="I18" s="13"/>
      <c r="J18" s="13"/>
      <c r="K18" s="13"/>
      <c r="L18" s="13"/>
      <c r="M18" s="13"/>
      <c r="N18" s="13"/>
      <c r="O18" s="13"/>
      <c r="P18" s="14"/>
      <c r="Q18" s="39">
        <f t="shared" si="0"/>
        <v>100.11197233333333</v>
      </c>
      <c r="R18" s="40">
        <f t="shared" si="4"/>
        <v>300.33591699999999</v>
      </c>
    </row>
    <row r="19" spans="1:18" outlineLevel="2">
      <c r="A19" s="104"/>
      <c r="B19" s="67"/>
      <c r="C19" s="12" t="s">
        <v>68</v>
      </c>
      <c r="D19" s="13">
        <f>'Control Consumo R - 2019'!Q19</f>
        <v>54.578458333333337</v>
      </c>
      <c r="E19" s="13">
        <v>56.3339</v>
      </c>
      <c r="F19" s="13">
        <v>51.987399999999994</v>
      </c>
      <c r="G19" s="13">
        <v>45.576599999999999</v>
      </c>
      <c r="H19" s="13"/>
      <c r="I19" s="13"/>
      <c r="J19" s="13"/>
      <c r="K19" s="13"/>
      <c r="L19" s="13"/>
      <c r="M19" s="13"/>
      <c r="N19" s="13"/>
      <c r="O19" s="13"/>
      <c r="P19" s="14"/>
      <c r="Q19" s="39">
        <f t="shared" si="0"/>
        <v>51.299299999999995</v>
      </c>
      <c r="R19" s="40">
        <f t="shared" si="4"/>
        <v>153.89789999999999</v>
      </c>
    </row>
    <row r="20" spans="1:18" outlineLevel="2">
      <c r="A20" s="96"/>
      <c r="B20" s="75"/>
      <c r="C20" s="3" t="s">
        <v>74</v>
      </c>
      <c r="D20" s="13">
        <f>'Control Consumo R - 2019'!Q20</f>
        <v>69.390933799999999</v>
      </c>
      <c r="E20" s="76">
        <v>52</v>
      </c>
      <c r="F20" s="76">
        <v>52</v>
      </c>
      <c r="G20" s="76">
        <v>52</v>
      </c>
      <c r="H20" s="76"/>
      <c r="I20" s="76"/>
      <c r="J20" s="76"/>
      <c r="K20" s="76"/>
      <c r="L20" s="76"/>
      <c r="M20" s="76"/>
      <c r="N20" s="76"/>
      <c r="O20" s="76"/>
      <c r="P20" s="77"/>
      <c r="Q20" s="39">
        <f t="shared" ref="Q20:Q22" si="5">AVERAGE(E20:P20)</f>
        <v>52</v>
      </c>
      <c r="R20" s="40">
        <f t="shared" ref="R20:R22" si="6">SUM(E20:P20)</f>
        <v>156</v>
      </c>
    </row>
    <row r="21" spans="1:18" outlineLevel="2">
      <c r="A21" s="96"/>
      <c r="B21" s="75"/>
      <c r="C21" s="3" t="s">
        <v>75</v>
      </c>
      <c r="D21" s="13">
        <f>'Control Consumo R - 2019'!Q21</f>
        <v>68.236350399999992</v>
      </c>
      <c r="E21" s="76">
        <v>76.812782999999996</v>
      </c>
      <c r="F21" s="76">
        <v>76.812782999999996</v>
      </c>
      <c r="G21" s="76">
        <v>53.5</v>
      </c>
      <c r="H21" s="76"/>
      <c r="I21" s="76"/>
      <c r="J21" s="76"/>
      <c r="K21" s="76"/>
      <c r="L21" s="76"/>
      <c r="M21" s="76"/>
      <c r="N21" s="76"/>
      <c r="O21" s="76"/>
      <c r="P21" s="77"/>
      <c r="Q21" s="39">
        <f t="shared" si="5"/>
        <v>69.041855333333331</v>
      </c>
      <c r="R21" s="40">
        <f t="shared" si="6"/>
        <v>207.12556599999999</v>
      </c>
    </row>
    <row r="22" spans="1:18" outlineLevel="2">
      <c r="A22" s="96"/>
      <c r="B22" s="75"/>
      <c r="C22" s="3" t="s">
        <v>76</v>
      </c>
      <c r="D22" s="13">
        <f>'Control Consumo R - 2019'!Q22</f>
        <v>54.186075750000001</v>
      </c>
      <c r="E22" s="76">
        <v>63.201499999999996</v>
      </c>
      <c r="F22" s="76">
        <v>62.942599999999999</v>
      </c>
      <c r="G22" s="76">
        <v>58.288899999999998</v>
      </c>
      <c r="H22" s="76"/>
      <c r="I22" s="76"/>
      <c r="J22" s="76"/>
      <c r="K22" s="76"/>
      <c r="L22" s="76"/>
      <c r="M22" s="76"/>
      <c r="N22" s="76"/>
      <c r="O22" s="76"/>
      <c r="P22" s="77"/>
      <c r="Q22" s="39">
        <f t="shared" si="5"/>
        <v>61.477666666666664</v>
      </c>
      <c r="R22" s="40">
        <f t="shared" si="6"/>
        <v>184.43299999999999</v>
      </c>
    </row>
    <row r="23" spans="1:18" ht="15" outlineLevel="1" thickBot="1">
      <c r="A23" s="22" t="s">
        <v>30</v>
      </c>
      <c r="B23" s="74"/>
      <c r="C23" s="17"/>
      <c r="D23" s="18">
        <f>'Control Consumo R - 2019'!Q19</f>
        <v>54.578458333333337</v>
      </c>
      <c r="E23" s="18">
        <f t="shared" ref="E23:P23" si="7">SUBTOTAL(9,E9:E19)</f>
        <v>564.47480399999995</v>
      </c>
      <c r="F23" s="18">
        <f t="shared" si="7"/>
        <v>581.24830800000007</v>
      </c>
      <c r="G23" s="18">
        <f t="shared" si="7"/>
        <v>596.67730900000004</v>
      </c>
      <c r="H23" s="18">
        <f t="shared" si="7"/>
        <v>0</v>
      </c>
      <c r="I23" s="18">
        <f t="shared" si="7"/>
        <v>0</v>
      </c>
      <c r="J23" s="18">
        <f t="shared" si="7"/>
        <v>0</v>
      </c>
      <c r="K23" s="18">
        <f t="shared" si="7"/>
        <v>0</v>
      </c>
      <c r="L23" s="18">
        <f t="shared" si="7"/>
        <v>0</v>
      </c>
      <c r="M23" s="18">
        <f t="shared" si="7"/>
        <v>0</v>
      </c>
      <c r="N23" s="18">
        <f t="shared" si="7"/>
        <v>0</v>
      </c>
      <c r="O23" s="18">
        <f t="shared" si="7"/>
        <v>0</v>
      </c>
      <c r="P23" s="19">
        <f t="shared" si="7"/>
        <v>0</v>
      </c>
      <c r="Q23" s="41">
        <f>SUM(Q9:Q22)</f>
        <v>763.31966233333333</v>
      </c>
      <c r="R23" s="46">
        <f>SUM(E23:P23)</f>
        <v>1742.4004210000003</v>
      </c>
    </row>
    <row r="24" spans="1:18" outlineLevel="2">
      <c r="A24" s="105" t="s">
        <v>31</v>
      </c>
      <c r="B24" s="73">
        <v>62910164</v>
      </c>
      <c r="C24" s="9" t="s">
        <v>1</v>
      </c>
      <c r="D24" s="10">
        <f>'Control Consumo R - 2019'!Q24</f>
        <v>51.084820666666651</v>
      </c>
      <c r="E24" s="10">
        <v>51.362104000000002</v>
      </c>
      <c r="F24" s="10">
        <v>50.989204000000001</v>
      </c>
      <c r="G24" s="10">
        <v>49</v>
      </c>
      <c r="H24" s="10"/>
      <c r="I24" s="10"/>
      <c r="J24" s="10"/>
      <c r="K24" s="10"/>
      <c r="L24" s="10"/>
      <c r="M24" s="10"/>
      <c r="N24" s="10"/>
      <c r="O24" s="10"/>
      <c r="P24" s="10"/>
      <c r="Q24" s="45">
        <f t="shared" si="0"/>
        <v>50.450436000000003</v>
      </c>
      <c r="R24" s="36">
        <f t="shared" si="1"/>
        <v>151.35130800000002</v>
      </c>
    </row>
    <row r="25" spans="1:18" outlineLevel="2">
      <c r="A25" s="106"/>
      <c r="B25" s="72">
        <v>62910163</v>
      </c>
      <c r="C25" s="12" t="s">
        <v>2</v>
      </c>
      <c r="D25" s="13">
        <f>'Control Consumo R - 2019'!Q25</f>
        <v>60.20880166666668</v>
      </c>
      <c r="E25" s="13">
        <v>63.284010000000009</v>
      </c>
      <c r="F25" s="13">
        <v>63.172809999999998</v>
      </c>
      <c r="G25" s="13">
        <v>52.951900000000002</v>
      </c>
      <c r="H25" s="13"/>
      <c r="I25" s="13"/>
      <c r="J25" s="13"/>
      <c r="K25" s="13"/>
      <c r="L25" s="13"/>
      <c r="M25" s="13"/>
      <c r="N25" s="13"/>
      <c r="O25" s="13"/>
      <c r="P25" s="14"/>
      <c r="Q25" s="39">
        <f t="shared" si="0"/>
        <v>59.802906666666672</v>
      </c>
      <c r="R25" s="40">
        <f t="shared" si="1"/>
        <v>179.40872000000002</v>
      </c>
    </row>
    <row r="26" spans="1:18" outlineLevel="2">
      <c r="A26" s="106"/>
      <c r="B26" s="72">
        <v>62910165</v>
      </c>
      <c r="C26" s="12" t="s">
        <v>3</v>
      </c>
      <c r="D26" s="13">
        <f>'Control Consumo R - 2019'!Q26</f>
        <v>52.704834000000005</v>
      </c>
      <c r="E26" s="13">
        <v>52.365600000000001</v>
      </c>
      <c r="F26" s="13">
        <v>49.675600000000003</v>
      </c>
      <c r="G26" s="13">
        <v>51.65</v>
      </c>
      <c r="H26" s="13"/>
      <c r="I26" s="13"/>
      <c r="J26" s="13"/>
      <c r="K26" s="13"/>
      <c r="L26" s="13"/>
      <c r="M26" s="13"/>
      <c r="N26" s="13"/>
      <c r="O26" s="13"/>
      <c r="P26" s="14"/>
      <c r="Q26" s="39">
        <f t="shared" si="0"/>
        <v>51.230400000000003</v>
      </c>
      <c r="R26" s="40">
        <f t="shared" si="1"/>
        <v>153.69120000000001</v>
      </c>
    </row>
    <row r="27" spans="1:18" outlineLevel="2">
      <c r="A27" s="106"/>
      <c r="B27" s="72">
        <v>62910169</v>
      </c>
      <c r="C27" s="12" t="s">
        <v>4</v>
      </c>
      <c r="D27" s="13">
        <f>'Control Consumo R - 2019'!Q27</f>
        <v>50.105150666666653</v>
      </c>
      <c r="E27" s="13">
        <v>50.235900000000001</v>
      </c>
      <c r="F27" s="13">
        <v>49.999600000000001</v>
      </c>
      <c r="G27" s="13">
        <v>49.037999999999997</v>
      </c>
      <c r="H27" s="13"/>
      <c r="I27" s="13"/>
      <c r="J27" s="94"/>
      <c r="K27" s="13"/>
      <c r="L27" s="13"/>
      <c r="M27" s="13"/>
      <c r="N27" s="13"/>
      <c r="O27" s="13"/>
      <c r="P27" s="14"/>
      <c r="Q27" s="39">
        <f t="shared" si="0"/>
        <v>49.757833333333338</v>
      </c>
      <c r="R27" s="40">
        <f t="shared" si="1"/>
        <v>149.27350000000001</v>
      </c>
    </row>
    <row r="28" spans="1:18" outlineLevel="2">
      <c r="A28" s="106"/>
      <c r="B28" s="72">
        <v>62910170</v>
      </c>
      <c r="C28" s="12" t="s">
        <v>5</v>
      </c>
      <c r="D28" s="13">
        <f>'Control Consumo R - 2019'!Q28</f>
        <v>50.063210666666663</v>
      </c>
      <c r="E28" s="13">
        <v>49.985600000000005</v>
      </c>
      <c r="F28" s="13">
        <v>49.843400000000003</v>
      </c>
      <c r="G28" s="13">
        <v>49.660400000000003</v>
      </c>
      <c r="H28" s="13"/>
      <c r="I28" s="13"/>
      <c r="J28" s="13"/>
      <c r="K28" s="13"/>
      <c r="L28" s="13"/>
      <c r="M28" s="13"/>
      <c r="N28" s="13"/>
      <c r="O28" s="13"/>
      <c r="P28" s="14"/>
      <c r="Q28" s="39">
        <f t="shared" si="0"/>
        <v>49.829800000000006</v>
      </c>
      <c r="R28" s="40">
        <f t="shared" si="1"/>
        <v>149.48940000000002</v>
      </c>
    </row>
    <row r="29" spans="1:18" outlineLevel="2">
      <c r="A29" s="106"/>
      <c r="B29" s="72">
        <v>62910178</v>
      </c>
      <c r="C29" s="12" t="s">
        <v>6</v>
      </c>
      <c r="D29" s="13">
        <f>'Control Consumo R - 2019'!Q29</f>
        <v>54.494967333333328</v>
      </c>
      <c r="E29" s="13">
        <v>49.999600000000001</v>
      </c>
      <c r="F29" s="13">
        <v>50.427599999999998</v>
      </c>
      <c r="G29" s="13">
        <v>48.03</v>
      </c>
      <c r="H29" s="13"/>
      <c r="I29" s="13"/>
      <c r="J29" s="13"/>
      <c r="K29" s="13"/>
      <c r="L29" s="13"/>
      <c r="M29" s="13"/>
      <c r="N29" s="13"/>
      <c r="O29" s="13"/>
      <c r="P29" s="14"/>
      <c r="Q29" s="39">
        <f t="shared" si="0"/>
        <v>49.485733333333336</v>
      </c>
      <c r="R29" s="40">
        <f t="shared" si="1"/>
        <v>148.4572</v>
      </c>
    </row>
    <row r="30" spans="1:18" outlineLevel="2">
      <c r="A30" s="106"/>
      <c r="B30" s="72">
        <v>62910179</v>
      </c>
      <c r="C30" s="12" t="s">
        <v>7</v>
      </c>
      <c r="D30" s="13">
        <f>'Control Consumo R - 2019'!Q30</f>
        <v>51.253875666666659</v>
      </c>
      <c r="E30" s="13">
        <v>55.4756</v>
      </c>
      <c r="F30" s="13">
        <v>54.339600000000004</v>
      </c>
      <c r="G30" s="13">
        <v>57.368000000000002</v>
      </c>
      <c r="H30" s="13"/>
      <c r="I30" s="13"/>
      <c r="J30" s="13"/>
      <c r="K30" s="13"/>
      <c r="L30" s="13"/>
      <c r="M30" s="13"/>
      <c r="N30" s="13"/>
      <c r="O30" s="13"/>
      <c r="P30" s="14"/>
      <c r="Q30" s="39">
        <f t="shared" si="0"/>
        <v>55.727733333333333</v>
      </c>
      <c r="R30" s="40">
        <f t="shared" si="1"/>
        <v>167.1832</v>
      </c>
    </row>
    <row r="31" spans="1:18" outlineLevel="2">
      <c r="A31" s="106"/>
      <c r="B31" s="72">
        <v>62910232</v>
      </c>
      <c r="C31" s="12" t="s">
        <v>8</v>
      </c>
      <c r="D31" s="13">
        <f>'Control Consumo R - 2019'!Q31</f>
        <v>48.223075666666666</v>
      </c>
      <c r="E31" s="13">
        <v>48.351100000000002</v>
      </c>
      <c r="F31" s="13">
        <v>48.1738</v>
      </c>
      <c r="G31" s="13">
        <v>47.270099999999999</v>
      </c>
      <c r="H31" s="13"/>
      <c r="I31" s="13"/>
      <c r="J31" s="13"/>
      <c r="K31" s="13"/>
      <c r="L31" s="13"/>
      <c r="M31" s="13"/>
      <c r="N31" s="13"/>
      <c r="O31" s="13"/>
      <c r="P31" s="14"/>
      <c r="Q31" s="39">
        <f t="shared" si="0"/>
        <v>47.931666666666672</v>
      </c>
      <c r="R31" s="40">
        <f t="shared" si="1"/>
        <v>143.79500000000002</v>
      </c>
    </row>
    <row r="32" spans="1:18" outlineLevel="2">
      <c r="A32" s="106"/>
      <c r="B32" s="72">
        <v>62910233</v>
      </c>
      <c r="C32" s="12" t="s">
        <v>9</v>
      </c>
      <c r="D32" s="13">
        <f>'Control Consumo R - 2019'!Q32</f>
        <v>48.309108999999999</v>
      </c>
      <c r="E32" s="13">
        <v>47.999600000000001</v>
      </c>
      <c r="F32" s="13">
        <v>47.999600000000001</v>
      </c>
      <c r="G32" s="13">
        <v>47</v>
      </c>
      <c r="H32" s="13"/>
      <c r="I32" s="13"/>
      <c r="J32" s="13"/>
      <c r="K32" s="13"/>
      <c r="L32" s="13"/>
      <c r="M32" s="13"/>
      <c r="N32" s="13"/>
      <c r="O32" s="13"/>
      <c r="P32" s="14"/>
      <c r="Q32" s="39">
        <f t="shared" si="0"/>
        <v>47.666400000000003</v>
      </c>
      <c r="R32" s="40">
        <f t="shared" si="1"/>
        <v>142.9992</v>
      </c>
    </row>
    <row r="33" spans="1:19" outlineLevel="2">
      <c r="A33" s="106"/>
      <c r="B33" s="72">
        <v>62910119</v>
      </c>
      <c r="C33" s="12" t="s">
        <v>10</v>
      </c>
      <c r="D33" s="13">
        <f>'Control Consumo R - 2019'!Q33</f>
        <v>49.919120666666664</v>
      </c>
      <c r="E33" s="13">
        <v>49.135204000000002</v>
      </c>
      <c r="F33" s="13">
        <v>48.631203999999997</v>
      </c>
      <c r="G33" s="13">
        <v>46.841999999999999</v>
      </c>
      <c r="H33" s="13"/>
      <c r="I33" s="13"/>
      <c r="J33" s="13"/>
      <c r="K33" s="13"/>
      <c r="L33" s="13"/>
      <c r="M33" s="13"/>
      <c r="N33" s="13"/>
      <c r="O33" s="13"/>
      <c r="P33" s="14"/>
      <c r="Q33" s="39">
        <f t="shared" si="0"/>
        <v>48.202802666666663</v>
      </c>
      <c r="R33" s="40">
        <f t="shared" si="1"/>
        <v>144.608408</v>
      </c>
    </row>
    <row r="34" spans="1:19" outlineLevel="2">
      <c r="A34" s="106"/>
      <c r="B34" s="72">
        <v>62910235</v>
      </c>
      <c r="C34" s="12" t="s">
        <v>37</v>
      </c>
      <c r="D34" s="13">
        <f>'Control Consumo R - 2019'!Q34</f>
        <v>51.94454566666667</v>
      </c>
      <c r="E34" s="13">
        <v>51.332800000000006</v>
      </c>
      <c r="F34" s="13">
        <v>50.532880000000006</v>
      </c>
      <c r="G34" s="13">
        <v>50.466520000000003</v>
      </c>
      <c r="H34" s="13"/>
      <c r="I34" s="13"/>
      <c r="J34" s="13"/>
      <c r="K34" s="13"/>
      <c r="L34" s="13"/>
      <c r="M34" s="13"/>
      <c r="N34" s="13"/>
      <c r="O34" s="13"/>
      <c r="P34" s="14"/>
      <c r="Q34" s="39">
        <f t="shared" si="0"/>
        <v>50.7774</v>
      </c>
      <c r="R34" s="40">
        <f t="shared" si="1"/>
        <v>152.3322</v>
      </c>
    </row>
    <row r="35" spans="1:19" outlineLevel="2">
      <c r="A35" s="106"/>
      <c r="B35" s="72">
        <v>62910340</v>
      </c>
      <c r="C35" s="12" t="s">
        <v>44</v>
      </c>
      <c r="D35" s="13">
        <f>'Control Consumo R - 2019'!Q35</f>
        <v>37.662765083333333</v>
      </c>
      <c r="E35" s="13">
        <v>39.548400000000001</v>
      </c>
      <c r="F35" s="13">
        <v>39.984400000000001</v>
      </c>
      <c r="G35" s="13">
        <v>39.041699999999999</v>
      </c>
      <c r="H35" s="13"/>
      <c r="I35" s="13"/>
      <c r="J35" s="13"/>
      <c r="K35" s="13"/>
      <c r="L35" s="13"/>
      <c r="M35" s="13"/>
      <c r="N35" s="13"/>
      <c r="O35" s="13"/>
      <c r="P35" s="14"/>
      <c r="Q35" s="39">
        <f t="shared" si="0"/>
        <v>39.524833333333333</v>
      </c>
      <c r="R35" s="40">
        <f t="shared" si="1"/>
        <v>118.5745</v>
      </c>
    </row>
    <row r="36" spans="1:19" outlineLevel="2">
      <c r="A36" s="106"/>
      <c r="B36" s="75">
        <v>62910238</v>
      </c>
      <c r="C36" s="3" t="s">
        <v>48</v>
      </c>
      <c r="D36" s="13">
        <f>'Control Consumo R - 2019'!Q36</f>
        <v>58.694349999999993</v>
      </c>
      <c r="E36" s="76">
        <v>75.133200000000002</v>
      </c>
      <c r="F36" s="76">
        <v>65.941199999999995</v>
      </c>
      <c r="G36" s="76">
        <v>57.424300000000002</v>
      </c>
      <c r="H36" s="76"/>
      <c r="I36" s="76"/>
      <c r="J36" s="76"/>
      <c r="K36" s="76"/>
      <c r="L36" s="76"/>
      <c r="M36" s="13"/>
      <c r="N36" s="76"/>
      <c r="O36" s="76"/>
      <c r="P36" s="77"/>
      <c r="Q36" s="39">
        <f t="shared" si="0"/>
        <v>66.166233333333324</v>
      </c>
      <c r="R36" s="40">
        <f t="shared" si="1"/>
        <v>198.49869999999999</v>
      </c>
    </row>
    <row r="37" spans="1:19" outlineLevel="2">
      <c r="A37" s="106"/>
      <c r="B37" s="75">
        <v>62910342</v>
      </c>
      <c r="C37" s="3" t="s">
        <v>51</v>
      </c>
      <c r="D37" s="13">
        <f>'Control Consumo R - 2019'!Q37</f>
        <v>83.165350000000004</v>
      </c>
      <c r="E37" s="76">
        <v>87.990003999999999</v>
      </c>
      <c r="F37" s="76">
        <v>87.990003999999999</v>
      </c>
      <c r="G37" s="76">
        <v>64.903225999999989</v>
      </c>
      <c r="H37" s="76"/>
      <c r="I37" s="76"/>
      <c r="J37" s="76"/>
      <c r="K37" s="76"/>
      <c r="L37" s="76"/>
      <c r="M37" s="76"/>
      <c r="N37" s="76"/>
      <c r="O37" s="76"/>
      <c r="P37" s="77"/>
      <c r="Q37" s="39">
        <f t="shared" si="0"/>
        <v>80.294411333333329</v>
      </c>
      <c r="R37" s="40">
        <f t="shared" ref="R37:R41" si="8">SUM(E37:P37)</f>
        <v>240.88323399999999</v>
      </c>
    </row>
    <row r="38" spans="1:19" outlineLevel="2">
      <c r="A38" s="106"/>
      <c r="B38" s="75">
        <v>62910344</v>
      </c>
      <c r="C38" s="3" t="s">
        <v>56</v>
      </c>
      <c r="D38" s="13">
        <f>'Control Consumo R - 2019'!Q38</f>
        <v>72.649463916666676</v>
      </c>
      <c r="E38" s="76">
        <v>72</v>
      </c>
      <c r="F38" s="76">
        <v>72</v>
      </c>
      <c r="G38" s="76">
        <v>70.05</v>
      </c>
      <c r="H38" s="76"/>
      <c r="I38" s="76"/>
      <c r="J38" s="76"/>
      <c r="K38" s="76"/>
      <c r="L38" s="76"/>
      <c r="M38" s="76"/>
      <c r="N38" s="76"/>
      <c r="O38" s="76"/>
      <c r="P38" s="77"/>
      <c r="Q38" s="39">
        <f t="shared" si="0"/>
        <v>71.350000000000009</v>
      </c>
      <c r="R38" s="40">
        <f t="shared" si="8"/>
        <v>214.05</v>
      </c>
    </row>
    <row r="39" spans="1:19" outlineLevel="2">
      <c r="A39" s="106"/>
      <c r="B39" s="75"/>
      <c r="C39" s="3" t="s">
        <v>62</v>
      </c>
      <c r="D39" s="13">
        <f>'Control Consumo R - 2019'!Q39</f>
        <v>46.50815833333332</v>
      </c>
      <c r="E39" s="76">
        <v>46.8065</v>
      </c>
      <c r="F39" s="76">
        <v>46.499200000000002</v>
      </c>
      <c r="G39" s="76">
        <v>44.5</v>
      </c>
      <c r="H39" s="76"/>
      <c r="I39" s="76"/>
      <c r="J39" s="76"/>
      <c r="K39" s="76"/>
      <c r="L39" s="76"/>
      <c r="M39" s="76"/>
      <c r="N39" s="76"/>
      <c r="O39" s="76"/>
      <c r="P39" s="77"/>
      <c r="Q39" s="39">
        <f t="shared" si="0"/>
        <v>45.935233333333336</v>
      </c>
      <c r="R39" s="40">
        <f t="shared" si="8"/>
        <v>137.8057</v>
      </c>
    </row>
    <row r="40" spans="1:19" outlineLevel="2">
      <c r="A40" s="106"/>
      <c r="B40" s="75"/>
      <c r="C40" s="3" t="s">
        <v>63</v>
      </c>
      <c r="D40" s="13">
        <f>'Control Consumo R - 2019'!Q40</f>
        <v>48.521974999999998</v>
      </c>
      <c r="E40" s="76">
        <v>48.899699999999996</v>
      </c>
      <c r="F40" s="76">
        <v>48.666200000000003</v>
      </c>
      <c r="G40" s="76">
        <v>46.5</v>
      </c>
      <c r="H40" s="76"/>
      <c r="I40" s="76"/>
      <c r="J40" s="76"/>
      <c r="K40" s="76"/>
      <c r="L40" s="76"/>
      <c r="M40" s="76"/>
      <c r="N40" s="76"/>
      <c r="O40" s="76"/>
      <c r="P40" s="77"/>
      <c r="Q40" s="39">
        <f t="shared" si="0"/>
        <v>48.021966666666664</v>
      </c>
      <c r="R40" s="40">
        <f t="shared" si="8"/>
        <v>144.0659</v>
      </c>
    </row>
    <row r="41" spans="1:19" outlineLevel="2">
      <c r="A41" s="107"/>
      <c r="B41" s="75"/>
      <c r="C41" s="3" t="s">
        <v>64</v>
      </c>
      <c r="D41" s="76">
        <f>'Control Consumo R - 2019'!Q41</f>
        <v>99.305720666666659</v>
      </c>
      <c r="E41" s="76">
        <v>99.348803999999987</v>
      </c>
      <c r="F41" s="76">
        <v>98.860004000000004</v>
      </c>
      <c r="G41" s="76">
        <v>82.513099999999994</v>
      </c>
      <c r="H41" s="76"/>
      <c r="I41" s="76"/>
      <c r="J41" s="76"/>
      <c r="K41" s="76"/>
      <c r="L41" s="76"/>
      <c r="M41" s="76"/>
      <c r="N41" s="76"/>
      <c r="O41" s="76"/>
      <c r="P41" s="77"/>
      <c r="Q41" s="39">
        <f t="shared" si="0"/>
        <v>93.573969333333324</v>
      </c>
      <c r="R41" s="40">
        <f t="shared" si="8"/>
        <v>280.72190799999998</v>
      </c>
    </row>
    <row r="42" spans="1:19" ht="15" outlineLevel="2" thickBot="1">
      <c r="A42" s="22" t="s">
        <v>32</v>
      </c>
      <c r="B42" s="68"/>
      <c r="C42" s="17"/>
      <c r="D42" s="18">
        <f>SUBTOTAL(9,D24:D41)</f>
        <v>1014.8192946666665</v>
      </c>
      <c r="E42" s="18">
        <f t="shared" ref="E42:P42" si="9">SUBTOTAL(9,E24:E41)</f>
        <v>1039.2537259999999</v>
      </c>
      <c r="F42" s="18">
        <f t="shared" si="9"/>
        <v>1023.726306</v>
      </c>
      <c r="G42" s="18">
        <f t="shared" si="9"/>
        <v>954.20924600000001</v>
      </c>
      <c r="H42" s="18">
        <f t="shared" si="9"/>
        <v>0</v>
      </c>
      <c r="I42" s="18">
        <f t="shared" si="9"/>
        <v>0</v>
      </c>
      <c r="J42" s="18">
        <f t="shared" si="9"/>
        <v>0</v>
      </c>
      <c r="K42" s="18">
        <f t="shared" si="9"/>
        <v>0</v>
      </c>
      <c r="L42" s="18">
        <f t="shared" si="9"/>
        <v>0</v>
      </c>
      <c r="M42" s="18">
        <f t="shared" si="9"/>
        <v>0</v>
      </c>
      <c r="N42" s="18">
        <f t="shared" si="9"/>
        <v>0</v>
      </c>
      <c r="O42" s="18">
        <f t="shared" si="9"/>
        <v>0</v>
      </c>
      <c r="P42" s="18">
        <f t="shared" si="9"/>
        <v>0</v>
      </c>
      <c r="Q42" s="41">
        <f>SUM(Q24:Q41)</f>
        <v>1005.7297593333335</v>
      </c>
      <c r="R42" s="46">
        <f t="shared" si="1"/>
        <v>3017.1892779999998</v>
      </c>
      <c r="S42" s="93"/>
    </row>
    <row r="43" spans="1:19" outlineLevel="1">
      <c r="A43" s="103" t="s">
        <v>18</v>
      </c>
      <c r="B43" s="64">
        <v>62910182</v>
      </c>
      <c r="C43" s="12" t="s">
        <v>19</v>
      </c>
      <c r="D43" s="13">
        <f>'Control Consumo R - 2019'!Q43</f>
        <v>42.812109416666665</v>
      </c>
      <c r="E43" s="13">
        <v>48.253</v>
      </c>
      <c r="F43" s="13">
        <v>42.972999999999999</v>
      </c>
      <c r="G43" s="13">
        <v>41.652999999999999</v>
      </c>
      <c r="H43" s="13"/>
      <c r="I43" s="13"/>
      <c r="J43" s="13"/>
      <c r="K43" s="13"/>
      <c r="L43" s="13"/>
      <c r="M43" s="13"/>
      <c r="N43" s="13"/>
      <c r="O43" s="13"/>
      <c r="P43" s="14"/>
      <c r="Q43" s="39">
        <f t="shared" si="0"/>
        <v>44.292999999999999</v>
      </c>
      <c r="R43" s="40">
        <f t="shared" si="1"/>
        <v>132.87899999999999</v>
      </c>
    </row>
    <row r="44" spans="1:19" outlineLevel="2">
      <c r="A44" s="104"/>
      <c r="B44" s="67">
        <v>62910182</v>
      </c>
      <c r="C44" s="12" t="s">
        <v>20</v>
      </c>
      <c r="D44" s="13">
        <f>'Control Consumo R - 2019'!Q44</f>
        <v>36.096033333333338</v>
      </c>
      <c r="E44" s="13">
        <v>36.298200000000001</v>
      </c>
      <c r="F44" s="13">
        <v>35.749200000000002</v>
      </c>
      <c r="G44" s="13">
        <v>35.664000000000001</v>
      </c>
      <c r="H44" s="13"/>
      <c r="I44" s="13"/>
      <c r="J44" s="13"/>
      <c r="K44" s="13"/>
      <c r="L44" s="13"/>
      <c r="M44" s="13"/>
      <c r="N44" s="13"/>
      <c r="O44" s="13"/>
      <c r="P44" s="14"/>
      <c r="Q44" s="39">
        <f t="shared" si="0"/>
        <v>35.903800000000004</v>
      </c>
      <c r="R44" s="40">
        <f t="shared" si="1"/>
        <v>107.71140000000001</v>
      </c>
    </row>
    <row r="45" spans="1:19" outlineLevel="2">
      <c r="A45" s="104"/>
      <c r="B45" s="67"/>
      <c r="C45" s="12" t="s">
        <v>55</v>
      </c>
      <c r="D45" s="13">
        <f>'Control Consumo R - 2019'!Q45</f>
        <v>60.360466083333336</v>
      </c>
      <c r="E45" s="13">
        <v>30.948386999999997</v>
      </c>
      <c r="F45" s="13">
        <v>0</v>
      </c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39">
        <f t="shared" si="0"/>
        <v>15.474193499999998</v>
      </c>
      <c r="R45" s="40">
        <f t="shared" si="1"/>
        <v>30.948386999999997</v>
      </c>
    </row>
    <row r="46" spans="1:19" outlineLevel="2">
      <c r="A46" s="104"/>
      <c r="B46" s="67">
        <v>62910182</v>
      </c>
      <c r="C46" s="12" t="s">
        <v>38</v>
      </c>
      <c r="D46" s="13">
        <f>'Control Consumo R - 2019'!Q46</f>
        <v>34.938716666666664</v>
      </c>
      <c r="E46" s="13">
        <v>35.53</v>
      </c>
      <c r="F46" s="13">
        <v>35.007200000000005</v>
      </c>
      <c r="G46" s="13">
        <v>35</v>
      </c>
      <c r="H46" s="13"/>
      <c r="I46" s="13"/>
      <c r="J46" s="13"/>
      <c r="K46" s="13"/>
      <c r="L46" s="13"/>
      <c r="M46" s="13"/>
      <c r="N46" s="13"/>
      <c r="O46" s="13"/>
      <c r="P46" s="14"/>
      <c r="Q46" s="39">
        <f t="shared" si="0"/>
        <v>35.179066666666671</v>
      </c>
      <c r="R46" s="40">
        <f t="shared" si="1"/>
        <v>105.53720000000001</v>
      </c>
    </row>
    <row r="47" spans="1:19" outlineLevel="2">
      <c r="A47" s="104"/>
      <c r="B47" s="67">
        <v>62910182</v>
      </c>
      <c r="C47" s="12" t="s">
        <v>39</v>
      </c>
      <c r="D47" s="13">
        <f>'Control Consumo R - 2019'!Q47</f>
        <v>36.607508333333335</v>
      </c>
      <c r="E47" s="13">
        <v>38.005600000000001</v>
      </c>
      <c r="F47" s="13">
        <v>38.000399999999992</v>
      </c>
      <c r="G47" s="13">
        <f>73-35</f>
        <v>38</v>
      </c>
      <c r="H47" s="13"/>
      <c r="I47" s="13"/>
      <c r="J47" s="13"/>
      <c r="K47" s="13"/>
      <c r="L47" s="13"/>
      <c r="M47" s="13"/>
      <c r="N47" s="13"/>
      <c r="O47" s="13"/>
      <c r="P47" s="14"/>
      <c r="Q47" s="39">
        <f t="shared" si="0"/>
        <v>38.002000000000002</v>
      </c>
      <c r="R47" s="40">
        <f t="shared" si="1"/>
        <v>114.006</v>
      </c>
    </row>
    <row r="48" spans="1:19" outlineLevel="2">
      <c r="A48" s="96"/>
      <c r="B48" s="75"/>
      <c r="C48" s="3" t="s">
        <v>73</v>
      </c>
      <c r="D48" s="13">
        <f>'Control Consumo R - 2019'!Q48</f>
        <v>6.2890959999999998</v>
      </c>
      <c r="E48" s="76">
        <v>0</v>
      </c>
      <c r="F48" s="76">
        <v>0</v>
      </c>
      <c r="G48" s="76"/>
      <c r="H48" s="76"/>
      <c r="I48" s="76"/>
      <c r="J48" s="76"/>
      <c r="K48" s="76"/>
      <c r="L48" s="76"/>
      <c r="M48" s="76"/>
      <c r="N48" s="76"/>
      <c r="O48" s="76"/>
      <c r="P48" s="77"/>
      <c r="Q48" s="39">
        <f t="shared" si="0"/>
        <v>0</v>
      </c>
      <c r="R48" s="40">
        <f t="shared" si="1"/>
        <v>0</v>
      </c>
    </row>
    <row r="49" spans="1:18" ht="15" outlineLevel="2" thickBot="1">
      <c r="A49" s="22" t="s">
        <v>33</v>
      </c>
      <c r="B49" s="68"/>
      <c r="C49" s="17"/>
      <c r="D49" s="18">
        <f>'Control Consumo R - 2019'!Q49</f>
        <v>217.10392983333332</v>
      </c>
      <c r="E49" s="18">
        <f>SUBTOTAL(9,E43:E48)</f>
        <v>189.03518700000001</v>
      </c>
      <c r="F49" s="18">
        <f>SUBTOTAL(9,F43:F48)</f>
        <v>151.72979999999998</v>
      </c>
      <c r="G49" s="18">
        <f>SUBTOTAL(9,G43:G47)</f>
        <v>150.31700000000001</v>
      </c>
      <c r="H49" s="18">
        <f>SUBTOTAL(9,H43:H47)</f>
        <v>0</v>
      </c>
      <c r="I49" s="18">
        <f>SUBTOTAL(9,I43:I47)</f>
        <v>0</v>
      </c>
      <c r="J49" s="18">
        <f>SUBTOTAL(9,J43:J48)</f>
        <v>0</v>
      </c>
      <c r="K49" s="18">
        <f>SUBTOTAL(9,K43:K48)</f>
        <v>0</v>
      </c>
      <c r="L49" s="18">
        <f t="shared" ref="L49:P49" si="10">SUBTOTAL(9,L43:L48)</f>
        <v>0</v>
      </c>
      <c r="M49" s="18">
        <f t="shared" si="10"/>
        <v>0</v>
      </c>
      <c r="N49" s="18">
        <f t="shared" si="10"/>
        <v>0</v>
      </c>
      <c r="O49" s="18">
        <f t="shared" si="10"/>
        <v>0</v>
      </c>
      <c r="P49" s="18">
        <f t="shared" si="10"/>
        <v>0</v>
      </c>
      <c r="Q49" s="41">
        <f>SUM(Q43:Q48)</f>
        <v>168.85206016666666</v>
      </c>
      <c r="R49" s="46">
        <f>SUM(E49:P49)</f>
        <v>491.08198700000003</v>
      </c>
    </row>
    <row r="50" spans="1:18" ht="15" outlineLevel="1" thickBot="1">
      <c r="A50" s="24"/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/>
      <c r="Q50" s="47"/>
      <c r="R50" s="48"/>
    </row>
    <row r="51" spans="1:18" ht="15" outlineLevel="1" thickBot="1">
      <c r="A51" s="28" t="s">
        <v>27</v>
      </c>
      <c r="B51" s="69"/>
      <c r="C51" s="29"/>
      <c r="D51" s="30">
        <f>'Control Consumo R - 2019'!Q51</f>
        <v>7848.3011707500009</v>
      </c>
      <c r="E51" s="30">
        <f t="shared" ref="E51:J51" si="11">SUBTOTAL(9,E2:E47)</f>
        <v>8494.7230410000011</v>
      </c>
      <c r="F51" s="30">
        <v>8046.75</v>
      </c>
      <c r="G51" s="30">
        <f t="shared" si="11"/>
        <v>7712.0045549999977</v>
      </c>
      <c r="H51" s="30">
        <f t="shared" si="11"/>
        <v>0</v>
      </c>
      <c r="I51" s="30">
        <f t="shared" si="11"/>
        <v>0</v>
      </c>
      <c r="J51" s="30">
        <f t="shared" si="11"/>
        <v>0</v>
      </c>
      <c r="K51" s="30">
        <f>SUBTOTAL(9,K2:K49)</f>
        <v>0</v>
      </c>
      <c r="L51" s="30">
        <f>SUBTOTAL(9,L2:L49)</f>
        <v>0</v>
      </c>
      <c r="M51" s="30">
        <f t="shared" ref="M51:P51" si="12">SUBTOTAL(9,M2:M49)</f>
        <v>0</v>
      </c>
      <c r="N51" s="30">
        <f t="shared" si="12"/>
        <v>0</v>
      </c>
      <c r="O51" s="30">
        <f t="shared" si="12"/>
        <v>0</v>
      </c>
      <c r="P51" s="30">
        <f t="shared" si="12"/>
        <v>0</v>
      </c>
      <c r="Q51" s="43">
        <f>AVERAGE(E51:P51)</f>
        <v>2021.1231329999998</v>
      </c>
      <c r="R51" s="44">
        <f>SUM(E51:P51)</f>
        <v>24253.477595999997</v>
      </c>
    </row>
    <row r="52" spans="1:18" ht="15" thickBot="1">
      <c r="A52" s="25"/>
      <c r="B52" s="25"/>
      <c r="C52" s="25"/>
      <c r="D52" s="25">
        <f>'Control Consumo R - 2019'!Q52</f>
        <v>0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32"/>
      <c r="Q52" s="47"/>
      <c r="R52" s="48"/>
    </row>
    <row r="53" spans="1:18" ht="15" thickBot="1">
      <c r="A53" s="33" t="s">
        <v>26</v>
      </c>
      <c r="B53" s="70"/>
      <c r="C53" s="29"/>
      <c r="D53" s="30">
        <f>'Control Consumo R - 2019'!Q53</f>
        <v>7847.7141666666676</v>
      </c>
      <c r="E53" s="30">
        <v>8494.7199999999993</v>
      </c>
      <c r="F53" s="30">
        <v>8046.75</v>
      </c>
      <c r="G53" s="30">
        <v>7712</v>
      </c>
      <c r="H53" s="30"/>
      <c r="I53" s="30"/>
      <c r="J53" s="30"/>
      <c r="K53" s="30"/>
      <c r="L53" s="30"/>
      <c r="M53" s="30"/>
      <c r="N53" s="30"/>
      <c r="O53" s="30"/>
      <c r="P53" s="31"/>
      <c r="Q53" s="43">
        <f>AVERAGE(E53:P53)</f>
        <v>8084.4900000000007</v>
      </c>
      <c r="R53" s="44">
        <f t="shared" si="1"/>
        <v>24253.47</v>
      </c>
    </row>
    <row r="54" spans="1:18" s="37" customFormat="1">
      <c r="A54" s="35"/>
      <c r="B54" s="35"/>
      <c r="C54" s="35"/>
      <c r="D54" s="35"/>
      <c r="E54" s="38"/>
      <c r="F54" s="38"/>
      <c r="G54" s="38"/>
      <c r="H54" s="38"/>
      <c r="I54" s="79"/>
      <c r="J54" s="38"/>
      <c r="K54" s="79"/>
      <c r="L54" s="38"/>
      <c r="M54" s="38"/>
      <c r="N54" s="38"/>
      <c r="O54" s="79"/>
      <c r="P54" s="38"/>
      <c r="Q54" s="79"/>
      <c r="R54" s="79"/>
    </row>
    <row r="55" spans="1:18">
      <c r="E55" s="38"/>
      <c r="F55" s="38"/>
      <c r="H55" s="38"/>
      <c r="I55" s="38"/>
      <c r="J55" s="38"/>
      <c r="K55" s="38"/>
      <c r="L55" s="38"/>
      <c r="M55" s="38"/>
      <c r="O55" s="38"/>
      <c r="P55" s="38"/>
    </row>
    <row r="56" spans="1:18">
      <c r="G56" s="38"/>
      <c r="J56" s="38"/>
      <c r="M56" s="38"/>
    </row>
    <row r="57" spans="1:18">
      <c r="I57" s="38"/>
    </row>
    <row r="58" spans="1:18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60" spans="1:18">
      <c r="I60" s="38"/>
    </row>
  </sheetData>
  <mergeCells count="4">
    <mergeCell ref="A2:A7"/>
    <mergeCell ref="A9:A19"/>
    <mergeCell ref="A24:A41"/>
    <mergeCell ref="A43:A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1.44140625" defaultRowHeight="14.4" outlineLevelRow="2"/>
  <cols>
    <col min="1" max="1" width="25.44140625" style="35" customWidth="1"/>
    <col min="2" max="2" width="15" style="35" bestFit="1" customWidth="1"/>
    <col min="3" max="3" width="14.109375" style="35" bestFit="1" customWidth="1"/>
    <col min="4" max="4" width="13.6640625" bestFit="1" customWidth="1"/>
    <col min="5" max="6" width="12.6640625" bestFit="1" customWidth="1"/>
    <col min="7" max="9" width="12" bestFit="1" customWidth="1"/>
    <col min="10" max="13" width="11.5546875" bestFit="1" customWidth="1"/>
    <col min="14" max="14" width="12.33203125" bestFit="1" customWidth="1"/>
    <col min="15" max="15" width="11.5546875" bestFit="1" customWidth="1"/>
    <col min="16" max="16" width="14.109375" bestFit="1" customWidth="1"/>
    <col min="17" max="17" width="12.5546875" bestFit="1" customWidth="1"/>
    <col min="18" max="18" width="11.44140625" style="35"/>
    <col min="19" max="19" width="23.88671875" bestFit="1" customWidth="1"/>
    <col min="20" max="16384" width="11.44140625" style="35"/>
  </cols>
  <sheetData>
    <row r="1" spans="1:19" ht="15" thickBot="1">
      <c r="A1" s="3"/>
      <c r="B1" s="3"/>
      <c r="C1" s="5" t="str">
        <f>'Control Consumo R - 2011'!O1</f>
        <v>Promedio 2011</v>
      </c>
      <c r="D1" s="5">
        <v>40909</v>
      </c>
      <c r="E1" s="5">
        <v>40940</v>
      </c>
      <c r="F1" s="5">
        <v>40969</v>
      </c>
      <c r="G1" s="5">
        <v>41000</v>
      </c>
      <c r="H1" s="5">
        <v>41030</v>
      </c>
      <c r="I1" s="5">
        <v>41061</v>
      </c>
      <c r="J1" s="5">
        <v>41091</v>
      </c>
      <c r="K1" s="5">
        <v>41122</v>
      </c>
      <c r="L1" s="5">
        <v>41153</v>
      </c>
      <c r="M1" s="5">
        <v>41183</v>
      </c>
      <c r="N1" s="5">
        <v>41214</v>
      </c>
      <c r="O1" s="5">
        <v>41244</v>
      </c>
      <c r="P1" s="42" t="s">
        <v>35</v>
      </c>
      <c r="Q1" s="34" t="s">
        <v>42</v>
      </c>
      <c r="S1" s="8" t="s">
        <v>40</v>
      </c>
    </row>
    <row r="2" spans="1:19" outlineLevel="2">
      <c r="A2" s="105" t="s">
        <v>0</v>
      </c>
      <c r="B2" s="9" t="s">
        <v>22</v>
      </c>
      <c r="C2" s="10">
        <f>'Control Consumo R - 2011'!O2</f>
        <v>2972.9944749999995</v>
      </c>
      <c r="D2" s="10">
        <v>2709.2746999999999</v>
      </c>
      <c r="E2" s="10">
        <v>2725.5762</v>
      </c>
      <c r="F2" s="10">
        <v>2807.2892999999999</v>
      </c>
      <c r="G2" s="10">
        <v>2688.0692000000004</v>
      </c>
      <c r="H2" s="10">
        <v>2897.7191000000003</v>
      </c>
      <c r="I2" s="10">
        <v>2687.4719</v>
      </c>
      <c r="J2" s="10">
        <v>2467.7299000000003</v>
      </c>
      <c r="K2" s="10">
        <v>2643.6566000000003</v>
      </c>
      <c r="L2" s="10">
        <v>2475.3466999999996</v>
      </c>
      <c r="M2" s="10">
        <v>2498.2029999999995</v>
      </c>
      <c r="N2" s="10">
        <v>2491.0920999999998</v>
      </c>
      <c r="O2" s="11">
        <v>2483.6039000000001</v>
      </c>
      <c r="P2" s="45">
        <f t="shared" ref="P2:P33" si="0">AVERAGE(D2:O2)</f>
        <v>2631.2527166666664</v>
      </c>
      <c r="Q2" s="36">
        <f>SUM(D2:O2)</f>
        <v>31575.032599999999</v>
      </c>
    </row>
    <row r="3" spans="1:19" outlineLevel="2">
      <c r="A3" s="106"/>
      <c r="B3" s="12" t="s">
        <v>21</v>
      </c>
      <c r="C3" s="13">
        <f>'Control Consumo R - 2011'!O3</f>
        <v>16</v>
      </c>
      <c r="D3" s="13">
        <v>48</v>
      </c>
      <c r="E3" s="13">
        <v>0</v>
      </c>
      <c r="F3" s="13">
        <v>120</v>
      </c>
      <c r="G3" s="13"/>
      <c r="H3" s="13"/>
      <c r="I3" s="13"/>
      <c r="J3" s="13"/>
      <c r="K3" s="13"/>
      <c r="L3" s="13"/>
      <c r="M3" s="13"/>
      <c r="N3" s="13"/>
      <c r="O3" s="14">
        <v>24</v>
      </c>
      <c r="P3" s="39">
        <f t="shared" si="0"/>
        <v>48</v>
      </c>
      <c r="Q3" s="40">
        <f t="shared" ref="Q3:Q39" si="1">SUM(D3:O3)</f>
        <v>192</v>
      </c>
    </row>
    <row r="4" spans="1:19" outlineLevel="2">
      <c r="A4" s="106"/>
      <c r="B4" s="12" t="s">
        <v>25</v>
      </c>
      <c r="C4" s="13">
        <f>'Control Consumo R - 2011'!O4</f>
        <v>56.539783333333325</v>
      </c>
      <c r="D4" s="13">
        <v>49.9</v>
      </c>
      <c r="E4" s="13">
        <v>49.9</v>
      </c>
      <c r="F4" s="13">
        <v>49.9</v>
      </c>
      <c r="G4" s="13">
        <v>49.9</v>
      </c>
      <c r="H4" s="13">
        <v>49.9</v>
      </c>
      <c r="I4" s="13">
        <v>49.9</v>
      </c>
      <c r="J4" s="13">
        <v>49.9</v>
      </c>
      <c r="K4" s="13">
        <v>49.99</v>
      </c>
      <c r="L4" s="13">
        <v>49.9</v>
      </c>
      <c r="M4" s="13">
        <v>49.9</v>
      </c>
      <c r="N4" s="13">
        <v>49.9</v>
      </c>
      <c r="O4" s="14">
        <v>49.9</v>
      </c>
      <c r="P4" s="39">
        <f t="shared" si="0"/>
        <v>49.907499999999992</v>
      </c>
      <c r="Q4" s="40">
        <f t="shared" si="1"/>
        <v>598.88999999999987</v>
      </c>
    </row>
    <row r="5" spans="1:19" outlineLevel="2">
      <c r="A5" s="106"/>
      <c r="B5" s="12" t="s">
        <v>34</v>
      </c>
      <c r="C5" s="13">
        <f>'Control Consumo R - 2011'!O5</f>
        <v>-7.9073833333333328</v>
      </c>
      <c r="D5" s="13">
        <v>0</v>
      </c>
      <c r="E5" s="13">
        <v>-34.2667</v>
      </c>
      <c r="F5" s="13">
        <v>0</v>
      </c>
      <c r="G5" s="13">
        <v>-3.2</v>
      </c>
      <c r="H5" s="13"/>
      <c r="I5" s="13">
        <v>-200</v>
      </c>
      <c r="J5" s="13">
        <v>-200</v>
      </c>
      <c r="K5" s="13">
        <v>0</v>
      </c>
      <c r="L5" s="13"/>
      <c r="M5" s="13"/>
      <c r="N5" s="13">
        <v>-3150</v>
      </c>
      <c r="O5" s="14"/>
      <c r="P5" s="39">
        <f t="shared" si="0"/>
        <v>-448.43333749999999</v>
      </c>
      <c r="Q5" s="40">
        <f t="shared" si="1"/>
        <v>-3587.4666999999999</v>
      </c>
    </row>
    <row r="6" spans="1:19" outlineLevel="2">
      <c r="A6" s="107"/>
      <c r="B6" s="12" t="s">
        <v>24</v>
      </c>
      <c r="C6" s="13">
        <f>'Control Consumo R - 2011'!O6</f>
        <v>93.639783333333341</v>
      </c>
      <c r="D6" s="13">
        <v>90</v>
      </c>
      <c r="E6" s="13">
        <v>90</v>
      </c>
      <c r="F6" s="13">
        <v>90</v>
      </c>
      <c r="G6" s="13">
        <v>90</v>
      </c>
      <c r="H6" s="13">
        <v>90</v>
      </c>
      <c r="I6" s="13">
        <v>90</v>
      </c>
      <c r="J6" s="13">
        <v>90</v>
      </c>
      <c r="K6" s="13">
        <v>90</v>
      </c>
      <c r="L6" s="13">
        <v>90</v>
      </c>
      <c r="M6" s="13">
        <v>90</v>
      </c>
      <c r="N6" s="13">
        <v>90</v>
      </c>
      <c r="O6" s="14">
        <v>90</v>
      </c>
      <c r="P6" s="39">
        <f t="shared" si="0"/>
        <v>90</v>
      </c>
      <c r="Q6" s="40">
        <f t="shared" si="1"/>
        <v>1080</v>
      </c>
    </row>
    <row r="7" spans="1:19" ht="15" outlineLevel="1" thickBot="1">
      <c r="A7" s="16" t="s">
        <v>28</v>
      </c>
      <c r="B7" s="17"/>
      <c r="C7" s="18">
        <f>'Control Consumo R - 2011'!O7</f>
        <v>3131.2666583333325</v>
      </c>
      <c r="D7" s="18">
        <f>SUBTOTAL(9,D2:D6)</f>
        <v>2897.1747</v>
      </c>
      <c r="E7" s="18">
        <f t="shared" ref="E7:O7" si="2">SUBTOTAL(9,E2:E6)</f>
        <v>2831.2094999999999</v>
      </c>
      <c r="F7" s="18">
        <f t="shared" si="2"/>
        <v>3067.1893</v>
      </c>
      <c r="G7" s="18">
        <f t="shared" si="2"/>
        <v>2824.7692000000006</v>
      </c>
      <c r="H7" s="18">
        <f t="shared" si="2"/>
        <v>3037.6191000000003</v>
      </c>
      <c r="I7" s="18">
        <f t="shared" si="2"/>
        <v>2627.3719000000001</v>
      </c>
      <c r="J7" s="18">
        <f t="shared" si="2"/>
        <v>2407.6299000000004</v>
      </c>
      <c r="K7" s="18">
        <f t="shared" si="2"/>
        <v>2783.6466</v>
      </c>
      <c r="L7" s="18">
        <f t="shared" si="2"/>
        <v>2615.2466999999997</v>
      </c>
      <c r="M7" s="18">
        <f t="shared" si="2"/>
        <v>2638.1029999999996</v>
      </c>
      <c r="N7" s="18">
        <f t="shared" si="2"/>
        <v>-519.00790000000006</v>
      </c>
      <c r="O7" s="19">
        <f t="shared" si="2"/>
        <v>2647.5039000000002</v>
      </c>
      <c r="P7" s="41">
        <f t="shared" si="0"/>
        <v>2488.2046583333336</v>
      </c>
      <c r="Q7" s="46">
        <f t="shared" si="1"/>
        <v>29858.455900000001</v>
      </c>
    </row>
    <row r="8" spans="1:19" outlineLevel="2">
      <c r="A8" s="103" t="s">
        <v>29</v>
      </c>
      <c r="B8" s="21" t="s">
        <v>11</v>
      </c>
      <c r="C8" s="10">
        <f>'Control Consumo R - 2011'!O8</f>
        <v>54.909936363636369</v>
      </c>
      <c r="D8" s="10">
        <v>54.033999999999999</v>
      </c>
      <c r="E8" s="10">
        <v>52.74</v>
      </c>
      <c r="F8" s="10">
        <v>51.996000000000002</v>
      </c>
      <c r="G8" s="10">
        <v>53.055</v>
      </c>
      <c r="H8" s="10">
        <v>51.996000000000002</v>
      </c>
      <c r="I8" s="10">
        <v>53.384999999999998</v>
      </c>
      <c r="J8" s="10">
        <v>52.308</v>
      </c>
      <c r="K8" s="10">
        <v>51.996000000000002</v>
      </c>
      <c r="L8" s="10">
        <v>52.194000000000003</v>
      </c>
      <c r="M8" s="10">
        <v>52.158000000000001</v>
      </c>
      <c r="N8" s="10">
        <v>51.996000000000002</v>
      </c>
      <c r="O8" s="11">
        <v>52.585999999999999</v>
      </c>
      <c r="P8" s="45">
        <f t="shared" si="0"/>
        <v>52.536999999999999</v>
      </c>
      <c r="Q8" s="36">
        <f t="shared" si="1"/>
        <v>630.44399999999996</v>
      </c>
    </row>
    <row r="9" spans="1:19" outlineLevel="2">
      <c r="A9" s="104"/>
      <c r="B9" s="12" t="s">
        <v>12</v>
      </c>
      <c r="C9" s="13">
        <f>'Control Consumo R - 2011'!O9</f>
        <v>54.437725</v>
      </c>
      <c r="D9" s="13">
        <v>53.655999999999999</v>
      </c>
      <c r="E9" s="13">
        <v>53.967999999999996</v>
      </c>
      <c r="F9" s="13">
        <v>52.264000000000003</v>
      </c>
      <c r="G9" s="13">
        <v>53.826700000000002</v>
      </c>
      <c r="H9" s="13">
        <v>52.707999999999998</v>
      </c>
      <c r="I9" s="13">
        <v>52.445999999999998</v>
      </c>
      <c r="J9" s="13">
        <v>52.061999999999998</v>
      </c>
      <c r="K9" s="13">
        <v>52.164700000000003</v>
      </c>
      <c r="L9" s="13">
        <v>52</v>
      </c>
      <c r="M9" s="13">
        <v>52.983999999999995</v>
      </c>
      <c r="N9" s="13">
        <v>52.4773</v>
      </c>
      <c r="O9" s="14">
        <v>53.0627</v>
      </c>
      <c r="P9" s="39">
        <f t="shared" si="0"/>
        <v>52.801616666666661</v>
      </c>
      <c r="Q9" s="40">
        <f t="shared" si="1"/>
        <v>633.61939999999993</v>
      </c>
    </row>
    <row r="10" spans="1:19" outlineLevel="2">
      <c r="A10" s="104"/>
      <c r="B10" s="49" t="s">
        <v>13</v>
      </c>
      <c r="C10" s="50">
        <f>'Control Consumo R - 2011'!O10</f>
        <v>118.62816666666667</v>
      </c>
      <c r="D10" s="50">
        <v>99.018400000000014</v>
      </c>
      <c r="E10" s="50">
        <v>93.022100000000009</v>
      </c>
      <c r="F10" s="50">
        <v>95.454700000000017</v>
      </c>
      <c r="G10" s="50">
        <v>103.18240000000002</v>
      </c>
      <c r="H10" s="50">
        <v>102.0467</v>
      </c>
      <c r="I10" s="50">
        <v>96.432400000000001</v>
      </c>
      <c r="J10" s="50">
        <v>86.215400000000017</v>
      </c>
      <c r="K10" s="50">
        <v>84.005400000000009</v>
      </c>
      <c r="L10" s="50">
        <v>86.4114</v>
      </c>
      <c r="M10" s="50">
        <v>85.032100000000014</v>
      </c>
      <c r="N10" s="50">
        <v>86.251400000000018</v>
      </c>
      <c r="O10" s="51">
        <v>88.111400000000017</v>
      </c>
      <c r="P10" s="52">
        <f t="shared" si="0"/>
        <v>92.098650000000006</v>
      </c>
      <c r="Q10" s="53">
        <f t="shared" si="1"/>
        <v>1105.1838</v>
      </c>
    </row>
    <row r="11" spans="1:19" outlineLevel="2">
      <c r="A11" s="104"/>
      <c r="B11" s="12" t="s">
        <v>14</v>
      </c>
      <c r="C11" s="13">
        <f>'Control Consumo R - 2011'!O11</f>
        <v>54.087416666666677</v>
      </c>
      <c r="D11" s="13">
        <v>55.367400000000004</v>
      </c>
      <c r="E11" s="13">
        <v>58.167500000000004</v>
      </c>
      <c r="F11" s="13">
        <v>59.483400000000003</v>
      </c>
      <c r="G11" s="13">
        <v>52.871399999999994</v>
      </c>
      <c r="H11" s="13">
        <v>51.878399999999999</v>
      </c>
      <c r="I11" s="13">
        <v>50.318100000000001</v>
      </c>
      <c r="J11" s="13">
        <v>52.735400000000006</v>
      </c>
      <c r="K11" s="13">
        <v>52.483399999999996</v>
      </c>
      <c r="L11" s="13">
        <v>50.095399999999991</v>
      </c>
      <c r="M11" s="13">
        <v>50.447400000000009</v>
      </c>
      <c r="N11" s="13">
        <v>51.041399999999996</v>
      </c>
      <c r="O11" s="14">
        <v>51.093399999999995</v>
      </c>
      <c r="P11" s="39">
        <f t="shared" si="0"/>
        <v>52.998549999999994</v>
      </c>
      <c r="Q11" s="40">
        <f t="shared" si="1"/>
        <v>635.98259999999993</v>
      </c>
    </row>
    <row r="12" spans="1:19" outlineLevel="2">
      <c r="A12" s="104"/>
      <c r="B12" s="12" t="s">
        <v>15</v>
      </c>
      <c r="C12" s="13">
        <f>'Control Consumo R - 2011'!O12</f>
        <v>54.860774999999997</v>
      </c>
      <c r="D12" s="12">
        <v>51.118000000000002</v>
      </c>
      <c r="E12" s="13">
        <v>50.096000000000011</v>
      </c>
      <c r="F12" s="13">
        <v>50.096000000000011</v>
      </c>
      <c r="G12" s="13">
        <v>50.401000000000003</v>
      </c>
      <c r="H12" s="13">
        <v>49.996000000000002</v>
      </c>
      <c r="I12" s="13">
        <v>50.694500000000012</v>
      </c>
      <c r="J12" s="13">
        <v>50.345299999999995</v>
      </c>
      <c r="K12" s="13">
        <v>50.096000000000011</v>
      </c>
      <c r="L12" s="13">
        <v>49.996000000000002</v>
      </c>
      <c r="M12" s="13">
        <v>50.164700000000003</v>
      </c>
      <c r="N12" s="13">
        <v>50.524700000000003</v>
      </c>
      <c r="O12" s="14">
        <v>49.996000000000002</v>
      </c>
      <c r="P12" s="39">
        <f t="shared" si="0"/>
        <v>50.293683333333341</v>
      </c>
      <c r="Q12" s="40">
        <f t="shared" si="1"/>
        <v>603.52420000000006</v>
      </c>
    </row>
    <row r="13" spans="1:19" outlineLevel="2">
      <c r="A13" s="104"/>
      <c r="B13" s="12" t="s">
        <v>16</v>
      </c>
      <c r="C13" s="13">
        <f>'Control Consumo R - 2011'!O13</f>
        <v>55.477316666666667</v>
      </c>
      <c r="D13" s="12">
        <v>52.996000000000002</v>
      </c>
      <c r="E13" s="13">
        <v>53.211999999999996</v>
      </c>
      <c r="F13" s="13">
        <v>54.178000000000004</v>
      </c>
      <c r="G13" s="13">
        <v>53.235999999999997</v>
      </c>
      <c r="H13" s="13">
        <v>53.208999999999996</v>
      </c>
      <c r="I13" s="13">
        <v>53.205999999999996</v>
      </c>
      <c r="J13" s="13">
        <v>53.158000000000001</v>
      </c>
      <c r="K13" s="13">
        <v>52.996000000000002</v>
      </c>
      <c r="L13" s="13">
        <v>53.084000000000003</v>
      </c>
      <c r="M13" s="13">
        <v>52.996000000000002</v>
      </c>
      <c r="N13" s="13">
        <v>52.996000000000002</v>
      </c>
      <c r="O13" s="14">
        <v>53.408000000000001</v>
      </c>
      <c r="P13" s="39">
        <f t="shared" si="0"/>
        <v>53.222916666666663</v>
      </c>
      <c r="Q13" s="40">
        <f t="shared" si="1"/>
        <v>638.67499999999995</v>
      </c>
    </row>
    <row r="14" spans="1:19" outlineLevel="2">
      <c r="A14" s="104"/>
      <c r="B14" s="49" t="s">
        <v>23</v>
      </c>
      <c r="C14" s="50">
        <f>'Control Consumo R - 2011'!O14</f>
        <v>87.88099166666666</v>
      </c>
      <c r="D14" s="50">
        <v>89.602899999999991</v>
      </c>
      <c r="E14" s="50">
        <v>89.602899999999991</v>
      </c>
      <c r="F14" s="50">
        <v>89.602899999999991</v>
      </c>
      <c r="G14" s="50">
        <v>89.602899999999991</v>
      </c>
      <c r="H14" s="50">
        <v>89.602899999999991</v>
      </c>
      <c r="I14" s="50">
        <v>89.602899999999991</v>
      </c>
      <c r="J14" s="50">
        <v>89.602899999999991</v>
      </c>
      <c r="K14" s="50">
        <v>89.602899999999991</v>
      </c>
      <c r="L14" s="50">
        <v>89.602899999999991</v>
      </c>
      <c r="M14" s="50">
        <v>89.602899999999991</v>
      </c>
      <c r="N14" s="50">
        <v>90.020199999999988</v>
      </c>
      <c r="O14" s="51">
        <v>89.902869999999993</v>
      </c>
      <c r="P14" s="52">
        <f t="shared" si="0"/>
        <v>89.662672499999985</v>
      </c>
      <c r="Q14" s="53">
        <f t="shared" si="1"/>
        <v>1075.9520699999998</v>
      </c>
    </row>
    <row r="15" spans="1:19" outlineLevel="2">
      <c r="A15" s="104"/>
      <c r="B15" s="49" t="s">
        <v>17</v>
      </c>
      <c r="C15" s="50">
        <f>'Control Consumo R - 2011'!O14</f>
        <v>87.88099166666666</v>
      </c>
      <c r="D15" s="50">
        <v>86.733799999999988</v>
      </c>
      <c r="E15" s="50">
        <v>87.064699999999988</v>
      </c>
      <c r="F15" s="50">
        <v>86.928099999999986</v>
      </c>
      <c r="G15" s="50">
        <v>86.584399999999988</v>
      </c>
      <c r="H15" s="50">
        <v>93.205399999999997</v>
      </c>
      <c r="I15" s="50">
        <v>111.2114</v>
      </c>
      <c r="J15" s="50">
        <v>86.745399999999989</v>
      </c>
      <c r="K15" s="50">
        <v>86.659399999999991</v>
      </c>
      <c r="L15" s="50">
        <v>86.293399999999991</v>
      </c>
      <c r="M15" s="50">
        <v>86.704699999999988</v>
      </c>
      <c r="N15" s="50">
        <v>86.351399999999998</v>
      </c>
      <c r="O15" s="51">
        <v>86.403399999999991</v>
      </c>
      <c r="P15" s="52">
        <f t="shared" ref="P15" si="3">AVERAGE(D15:O15)</f>
        <v>89.240458333333322</v>
      </c>
      <c r="Q15" s="53">
        <f t="shared" ref="Q15" si="4">SUM(D15:O15)</f>
        <v>1070.8854999999999</v>
      </c>
    </row>
    <row r="16" spans="1:19" outlineLevel="2">
      <c r="A16" s="104"/>
      <c r="B16" s="12" t="s">
        <v>43</v>
      </c>
      <c r="C16" s="13">
        <f>'Control Consumo R - 2011'!O15</f>
        <v>87.740816666666703</v>
      </c>
      <c r="D16" s="13"/>
      <c r="E16" s="13"/>
      <c r="F16" s="13"/>
      <c r="G16" s="13"/>
      <c r="H16" s="13">
        <v>42.580700000000007</v>
      </c>
      <c r="I16" s="13">
        <v>59.063200000000002</v>
      </c>
      <c r="J16" s="13">
        <v>55.765699999999995</v>
      </c>
      <c r="K16" s="13">
        <v>54.0075</v>
      </c>
      <c r="L16" s="13">
        <v>53.200199999999995</v>
      </c>
      <c r="M16" s="13">
        <v>53.372199999999999</v>
      </c>
      <c r="N16" s="13">
        <v>53.100200000000008</v>
      </c>
      <c r="O16" s="14">
        <v>53.634889999999999</v>
      </c>
      <c r="P16" s="39">
        <f t="shared" si="0"/>
        <v>53.090573750000004</v>
      </c>
      <c r="Q16" s="40">
        <f t="shared" si="1"/>
        <v>424.72459000000003</v>
      </c>
    </row>
    <row r="17" spans="1:19" ht="15" outlineLevel="1" thickBot="1">
      <c r="A17" s="22" t="s">
        <v>30</v>
      </c>
      <c r="B17" s="17"/>
      <c r="C17" s="18">
        <f>'Control Consumo R - 2011'!O16</f>
        <v>563.44731666666655</v>
      </c>
      <c r="D17" s="18">
        <f t="shared" ref="D17:O17" si="5">SUBTOTAL(9,D8:D16)</f>
        <v>542.52649999999994</v>
      </c>
      <c r="E17" s="18">
        <f t="shared" si="5"/>
        <v>537.8732</v>
      </c>
      <c r="F17" s="18">
        <f t="shared" si="5"/>
        <v>540.00310000000002</v>
      </c>
      <c r="G17" s="18">
        <f t="shared" si="5"/>
        <v>542.75979999999993</v>
      </c>
      <c r="H17" s="18">
        <f t="shared" si="5"/>
        <v>587.22309999999993</v>
      </c>
      <c r="I17" s="18">
        <f t="shared" si="5"/>
        <v>616.35950000000003</v>
      </c>
      <c r="J17" s="18">
        <f t="shared" si="5"/>
        <v>578.93810000000008</v>
      </c>
      <c r="K17" s="18">
        <f t="shared" si="5"/>
        <v>574.01130000000001</v>
      </c>
      <c r="L17" s="18">
        <f t="shared" si="5"/>
        <v>572.87729999999999</v>
      </c>
      <c r="M17" s="18">
        <f t="shared" si="5"/>
        <v>573.46199999999999</v>
      </c>
      <c r="N17" s="18">
        <f t="shared" si="5"/>
        <v>574.75859999999989</v>
      </c>
      <c r="O17" s="19">
        <f t="shared" si="5"/>
        <v>578.19866000000013</v>
      </c>
      <c r="P17" s="41">
        <f t="shared" si="0"/>
        <v>568.24926333333337</v>
      </c>
      <c r="Q17" s="46">
        <f t="shared" si="1"/>
        <v>6818.9911600000005</v>
      </c>
      <c r="S17" s="20">
        <f>AVERAGE(D8:O16)</f>
        <v>65.567222692307666</v>
      </c>
    </row>
    <row r="18" spans="1:19" outlineLevel="2">
      <c r="A18" s="105" t="s">
        <v>31</v>
      </c>
      <c r="B18" s="9" t="s">
        <v>1</v>
      </c>
      <c r="C18" s="10">
        <f>'Control Consumo R - 2011'!O17</f>
        <v>92.989200000000025</v>
      </c>
      <c r="D18" s="10">
        <v>84.509399999999999</v>
      </c>
      <c r="E18" s="10">
        <v>82.088400000000007</v>
      </c>
      <c r="F18" s="10">
        <v>82.064300000000003</v>
      </c>
      <c r="G18" s="10">
        <v>87.676199999999994</v>
      </c>
      <c r="H18" s="10">
        <v>91.000100000000003</v>
      </c>
      <c r="I18" s="10">
        <v>82.971400000000003</v>
      </c>
      <c r="J18" s="10">
        <v>84.643300000000011</v>
      </c>
      <c r="K18" s="10">
        <v>81.829400000000007</v>
      </c>
      <c r="L18" s="10">
        <v>82.432700000000011</v>
      </c>
      <c r="M18" s="10">
        <v>81.526600000000002</v>
      </c>
      <c r="N18" s="10">
        <v>83.105800000000002</v>
      </c>
      <c r="O18" s="11">
        <v>81.303399999999996</v>
      </c>
      <c r="P18" s="45">
        <f t="shared" si="0"/>
        <v>83.762583333333325</v>
      </c>
      <c r="Q18" s="36">
        <f t="shared" si="1"/>
        <v>1005.151</v>
      </c>
    </row>
    <row r="19" spans="1:19" outlineLevel="2">
      <c r="A19" s="106"/>
      <c r="B19" s="12" t="s">
        <v>2</v>
      </c>
      <c r="C19" s="13">
        <f>'Control Consumo R - 2011'!O18</f>
        <v>75.793899999999994</v>
      </c>
      <c r="D19" s="13">
        <v>73.579599999999985</v>
      </c>
      <c r="E19" s="13">
        <v>73.678699999999978</v>
      </c>
      <c r="F19" s="13">
        <v>74.968599999999981</v>
      </c>
      <c r="G19" s="13">
        <v>73.202899999999985</v>
      </c>
      <c r="H19" s="13">
        <v>73.202899999999985</v>
      </c>
      <c r="I19" s="13">
        <v>73.401599999999988</v>
      </c>
      <c r="J19" s="13">
        <v>74.306299999999979</v>
      </c>
      <c r="K19" s="13">
        <v>73.202899999999985</v>
      </c>
      <c r="L19" s="13">
        <v>73.202899999999985</v>
      </c>
      <c r="M19" s="13">
        <v>73.460899999999995</v>
      </c>
      <c r="N19" s="13">
        <v>73.762999999999991</v>
      </c>
      <c r="O19" s="14">
        <v>73.602859999999978</v>
      </c>
      <c r="P19" s="39">
        <f t="shared" si="0"/>
        <v>73.631096666666664</v>
      </c>
      <c r="Q19" s="40">
        <f t="shared" si="1"/>
        <v>883.57315999999992</v>
      </c>
    </row>
    <row r="20" spans="1:19" outlineLevel="2">
      <c r="A20" s="106"/>
      <c r="B20" s="12" t="s">
        <v>3</v>
      </c>
      <c r="C20" s="13">
        <f>'Control Consumo R - 2011'!O19</f>
        <v>74.202849999999998</v>
      </c>
      <c r="D20" s="13">
        <v>71.392599999999987</v>
      </c>
      <c r="E20" s="13">
        <v>69.76100000000001</v>
      </c>
      <c r="F20" s="13">
        <v>71.055999999999997</v>
      </c>
      <c r="G20" s="13">
        <v>69.600300000000004</v>
      </c>
      <c r="H20" s="13">
        <v>70.12</v>
      </c>
      <c r="I20" s="13">
        <v>71.122</v>
      </c>
      <c r="J20" s="13">
        <v>70.23599999999999</v>
      </c>
      <c r="K20" s="13">
        <v>69.923999999999992</v>
      </c>
      <c r="L20" s="13">
        <v>69.951300000000003</v>
      </c>
      <c r="M20" s="13">
        <v>69.195999999999998</v>
      </c>
      <c r="N20" s="13">
        <v>69.195999999999998</v>
      </c>
      <c r="O20" s="14">
        <v>69.429299999999998</v>
      </c>
      <c r="P20" s="39">
        <f t="shared" si="0"/>
        <v>70.082041666666669</v>
      </c>
      <c r="Q20" s="40">
        <f t="shared" si="1"/>
        <v>840.98450000000003</v>
      </c>
    </row>
    <row r="21" spans="1:19" outlineLevel="2">
      <c r="A21" s="106"/>
      <c r="B21" s="12" t="s">
        <v>4</v>
      </c>
      <c r="C21" s="13">
        <f>'Control Consumo R - 2011'!O20</f>
        <v>88.537700000000015</v>
      </c>
      <c r="D21" s="13">
        <v>74.143600000000006</v>
      </c>
      <c r="E21" s="13">
        <v>75.890799999999999</v>
      </c>
      <c r="F21" s="13">
        <v>73.168700000000001</v>
      </c>
      <c r="G21" s="13">
        <v>73.424700000000001</v>
      </c>
      <c r="H21" s="13">
        <v>71.095799999999997</v>
      </c>
      <c r="I21" s="13">
        <v>72.462699999999998</v>
      </c>
      <c r="J21" s="13">
        <v>70.622099999999989</v>
      </c>
      <c r="K21" s="13">
        <v>75.023499999999999</v>
      </c>
      <c r="L21" s="13">
        <v>73.935699999999983</v>
      </c>
      <c r="M21" s="13">
        <v>72.970700000000008</v>
      </c>
      <c r="N21" s="13">
        <v>73.229599999999991</v>
      </c>
      <c r="O21" s="14">
        <v>74.439579999999992</v>
      </c>
      <c r="P21" s="39">
        <f t="shared" si="0"/>
        <v>73.367289999999983</v>
      </c>
      <c r="Q21" s="40">
        <f t="shared" si="1"/>
        <v>880.40747999999985</v>
      </c>
    </row>
    <row r="22" spans="1:19" outlineLevel="2">
      <c r="A22" s="106"/>
      <c r="B22" s="12" t="s">
        <v>5</v>
      </c>
      <c r="C22" s="13">
        <f>'Control Consumo R - 2011'!O21</f>
        <v>75.493645454545458</v>
      </c>
      <c r="D22" s="13">
        <v>70.607200000000006</v>
      </c>
      <c r="E22" s="13">
        <v>69.195999999999998</v>
      </c>
      <c r="F22" s="13">
        <v>69.420999999999992</v>
      </c>
      <c r="G22" s="13">
        <v>69.908000000000001</v>
      </c>
      <c r="H22" s="13">
        <v>69.480999999999995</v>
      </c>
      <c r="I22" s="13">
        <v>70.541499999999999</v>
      </c>
      <c r="J22" s="13">
        <v>69.592500000000001</v>
      </c>
      <c r="K22" s="13">
        <v>70.047299999999993</v>
      </c>
      <c r="L22" s="13">
        <v>69.855299999999986</v>
      </c>
      <c r="M22" s="13">
        <v>69.745899999999992</v>
      </c>
      <c r="N22" s="13">
        <v>69.905999999999992</v>
      </c>
      <c r="O22" s="14">
        <v>69.505990000000011</v>
      </c>
      <c r="P22" s="39">
        <f t="shared" si="0"/>
        <v>69.817307499999984</v>
      </c>
      <c r="Q22" s="40">
        <f t="shared" si="1"/>
        <v>837.80768999999987</v>
      </c>
    </row>
    <row r="23" spans="1:19" outlineLevel="2">
      <c r="A23" s="106"/>
      <c r="B23" s="12" t="s">
        <v>6</v>
      </c>
      <c r="C23" s="13">
        <f>'Control Consumo R - 2011'!O22</f>
        <v>86.810291666666672</v>
      </c>
      <c r="D23" s="12">
        <v>90.263499999999993</v>
      </c>
      <c r="E23" s="13">
        <v>82.00330000000001</v>
      </c>
      <c r="F23" s="13">
        <v>84.304300000000012</v>
      </c>
      <c r="G23" s="13">
        <v>82.687300000000008</v>
      </c>
      <c r="H23" s="13">
        <v>82.7453</v>
      </c>
      <c r="I23" s="13">
        <v>81.92240000000001</v>
      </c>
      <c r="J23" s="13">
        <v>81.503400000000013</v>
      </c>
      <c r="K23" s="13">
        <v>81.643400000000014</v>
      </c>
      <c r="L23" s="13">
        <v>81.415400000000005</v>
      </c>
      <c r="M23" s="13">
        <v>81.492100000000008</v>
      </c>
      <c r="N23" s="13">
        <v>81.503399999999999</v>
      </c>
      <c r="O23" s="14">
        <v>81.403379999999999</v>
      </c>
      <c r="P23" s="39">
        <f t="shared" si="0"/>
        <v>82.740598333333352</v>
      </c>
      <c r="Q23" s="40">
        <f t="shared" si="1"/>
        <v>992.88718000000017</v>
      </c>
    </row>
    <row r="24" spans="1:19" outlineLevel="2">
      <c r="A24" s="106"/>
      <c r="B24" s="12" t="s">
        <v>7</v>
      </c>
      <c r="C24" s="13">
        <f>'Control Consumo R - 2011'!O23</f>
        <v>77.086875000000006</v>
      </c>
      <c r="D24" s="13">
        <v>73.087700000000012</v>
      </c>
      <c r="E24" s="13">
        <v>70.760999999999996</v>
      </c>
      <c r="F24" s="13">
        <v>70.424000000000007</v>
      </c>
      <c r="G24" s="13">
        <v>69.921999999999997</v>
      </c>
      <c r="H24" s="13">
        <v>69.715000000000003</v>
      </c>
      <c r="I24" s="13">
        <v>71.466999999999999</v>
      </c>
      <c r="J24" s="13">
        <v>69.699999999999989</v>
      </c>
      <c r="K24" s="13">
        <v>70.903800000000004</v>
      </c>
      <c r="L24" s="13">
        <v>70.927800000000005</v>
      </c>
      <c r="M24" s="13">
        <v>71.2958</v>
      </c>
      <c r="N24" s="13">
        <v>72.053799999999995</v>
      </c>
      <c r="O24" s="14">
        <v>71.057869999999994</v>
      </c>
      <c r="P24" s="39">
        <f t="shared" si="0"/>
        <v>70.942980833333337</v>
      </c>
      <c r="Q24" s="40">
        <f t="shared" si="1"/>
        <v>851.31577000000004</v>
      </c>
    </row>
    <row r="25" spans="1:19" outlineLevel="2">
      <c r="A25" s="106"/>
      <c r="B25" s="12" t="s">
        <v>8</v>
      </c>
      <c r="C25" s="13">
        <f>'Control Consumo R - 2011'!O24</f>
        <v>99.223258333333362</v>
      </c>
      <c r="D25" s="13">
        <v>91.103500000000011</v>
      </c>
      <c r="E25" s="13">
        <v>91.357400000000013</v>
      </c>
      <c r="F25" s="13">
        <v>91.293000000000006</v>
      </c>
      <c r="G25" s="13">
        <v>91.762800000000013</v>
      </c>
      <c r="H25" s="13">
        <v>92.990300000000005</v>
      </c>
      <c r="I25" s="13">
        <v>91.561900000000009</v>
      </c>
      <c r="J25" s="13">
        <v>90.953700000000012</v>
      </c>
      <c r="K25" s="13">
        <v>91.8566</v>
      </c>
      <c r="L25" s="13">
        <v>93.645200000000017</v>
      </c>
      <c r="M25" s="13">
        <v>91.824000000000012</v>
      </c>
      <c r="N25" s="13">
        <v>93.809600000000003</v>
      </c>
      <c r="O25" s="14">
        <v>91.31110000000001</v>
      </c>
      <c r="P25" s="39">
        <f t="shared" si="0"/>
        <v>91.95575833333335</v>
      </c>
      <c r="Q25" s="40">
        <f t="shared" si="1"/>
        <v>1103.4691000000003</v>
      </c>
    </row>
    <row r="26" spans="1:19" outlineLevel="2">
      <c r="A26" s="106"/>
      <c r="B26" s="12" t="s">
        <v>9</v>
      </c>
      <c r="C26" s="13">
        <f>'Control Consumo R - 2011'!O25</f>
        <v>99.249000000000009</v>
      </c>
      <c r="D26" s="13">
        <v>93.679700000000011</v>
      </c>
      <c r="E26" s="13">
        <v>92.721700000000013</v>
      </c>
      <c r="F26" s="13">
        <v>92.417000000000002</v>
      </c>
      <c r="G26" s="13">
        <v>90.796000000000006</v>
      </c>
      <c r="H26" s="13">
        <v>91.138000000000005</v>
      </c>
      <c r="I26" s="13">
        <v>91.674000000000007</v>
      </c>
      <c r="J26" s="13">
        <v>90.947700000000012</v>
      </c>
      <c r="K26" s="13">
        <v>91.374700000000004</v>
      </c>
      <c r="L26" s="13">
        <v>95.239700000000013</v>
      </c>
      <c r="M26" s="13">
        <v>135.86830000000003</v>
      </c>
      <c r="N26" s="13">
        <v>91.473600000000005</v>
      </c>
      <c r="O26" s="14">
        <v>91.968900000000005</v>
      </c>
      <c r="P26" s="39">
        <f t="shared" si="0"/>
        <v>95.774941666666678</v>
      </c>
      <c r="Q26" s="40">
        <f t="shared" si="1"/>
        <v>1149.2993000000001</v>
      </c>
    </row>
    <row r="27" spans="1:19" outlineLevel="2">
      <c r="A27" s="106"/>
      <c r="B27" s="12" t="s">
        <v>10</v>
      </c>
      <c r="C27" s="13">
        <f>'Control Consumo R - 2011'!O26</f>
        <v>75.304900000000004</v>
      </c>
      <c r="D27" s="13">
        <v>80.6006</v>
      </c>
      <c r="E27" s="13">
        <v>75.169999999999959</v>
      </c>
      <c r="F27" s="13">
        <v>62.657000000000004</v>
      </c>
      <c r="G27" s="13">
        <v>68.609699999999989</v>
      </c>
      <c r="H27" s="13">
        <v>64.303999999999988</v>
      </c>
      <c r="I27" s="13">
        <v>62.542999999999999</v>
      </c>
      <c r="J27" s="13">
        <v>62.061999999999991</v>
      </c>
      <c r="K27" s="13">
        <v>63.410699999999991</v>
      </c>
      <c r="L27" s="13">
        <v>62.24</v>
      </c>
      <c r="M27" s="13">
        <v>61.094000000000001</v>
      </c>
      <c r="N27" s="13">
        <v>63.739999999999995</v>
      </c>
      <c r="O27" s="14">
        <v>62.853999999999992</v>
      </c>
      <c r="P27" s="39">
        <f t="shared" si="0"/>
        <v>65.773750000000007</v>
      </c>
      <c r="Q27" s="40">
        <f t="shared" ref="Q27:Q28" si="6">SUM(D27:O27)</f>
        <v>789.28500000000008</v>
      </c>
    </row>
    <row r="28" spans="1:19" outlineLevel="2">
      <c r="A28" s="106"/>
      <c r="B28" s="12" t="s">
        <v>37</v>
      </c>
      <c r="C28"/>
      <c r="D28" s="13"/>
      <c r="E28" s="13"/>
      <c r="F28" s="13">
        <v>61.01569999999996</v>
      </c>
      <c r="G28" s="13">
        <v>66.796000000000021</v>
      </c>
      <c r="H28" s="13">
        <v>66.795999999999992</v>
      </c>
      <c r="I28" s="13">
        <v>69.29849999999999</v>
      </c>
      <c r="J28" s="13">
        <v>68.288599999999988</v>
      </c>
      <c r="K28" s="13">
        <v>67.653599999999997</v>
      </c>
      <c r="L28" s="13">
        <v>69.152799999999985</v>
      </c>
      <c r="M28" s="13">
        <v>68.631799999999984</v>
      </c>
      <c r="N28" s="13">
        <v>68.880799999999979</v>
      </c>
      <c r="O28" s="14">
        <v>69.153480000000002</v>
      </c>
      <c r="P28" s="39">
        <f t="shared" ref="P28" si="7">AVERAGE(D28:O28)</f>
        <v>67.566727999999983</v>
      </c>
      <c r="Q28" s="40">
        <f t="shared" si="6"/>
        <v>675.66727999999989</v>
      </c>
    </row>
    <row r="29" spans="1:19" outlineLevel="2">
      <c r="A29" s="107"/>
      <c r="B29" s="12" t="s">
        <v>44</v>
      </c>
      <c r="C2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64.781895999999989</v>
      </c>
      <c r="P29" s="39">
        <f t="shared" si="0"/>
        <v>64.781895999999989</v>
      </c>
      <c r="Q29" s="40">
        <f t="shared" si="1"/>
        <v>64.781895999999989</v>
      </c>
    </row>
    <row r="30" spans="1:19" ht="15" outlineLevel="2" thickBot="1">
      <c r="A30" s="22" t="s">
        <v>32</v>
      </c>
      <c r="B30" s="17"/>
      <c r="C30" s="18">
        <f>'Control Consumo R - 2011'!O27</f>
        <v>775.64640000000009</v>
      </c>
      <c r="D30" s="18">
        <f t="shared" ref="D30:O30" si="8">SUBTOTAL(9,D18:D29)</f>
        <v>802.96740000000011</v>
      </c>
      <c r="E30" s="18">
        <f t="shared" si="8"/>
        <v>782.62830000000008</v>
      </c>
      <c r="F30" s="18">
        <f t="shared" si="8"/>
        <v>832.78959999999995</v>
      </c>
      <c r="G30" s="18">
        <f t="shared" si="8"/>
        <v>844.38589999999999</v>
      </c>
      <c r="H30" s="18">
        <f t="shared" si="8"/>
        <v>842.58840000000009</v>
      </c>
      <c r="I30" s="18">
        <f t="shared" si="8"/>
        <v>838.96600000000001</v>
      </c>
      <c r="J30" s="18">
        <f t="shared" si="8"/>
        <v>832.85559999999998</v>
      </c>
      <c r="K30" s="18">
        <f t="shared" si="8"/>
        <v>836.86990000000003</v>
      </c>
      <c r="L30" s="18">
        <f t="shared" si="8"/>
        <v>841.99880000000007</v>
      </c>
      <c r="M30" s="18">
        <f t="shared" si="8"/>
        <v>877.10610000000008</v>
      </c>
      <c r="N30" s="18">
        <f t="shared" si="8"/>
        <v>840.66160000000013</v>
      </c>
      <c r="O30" s="19">
        <f t="shared" si="8"/>
        <v>900.81175599999983</v>
      </c>
      <c r="P30" s="41">
        <f t="shared" si="0"/>
        <v>839.55244633333325</v>
      </c>
      <c r="Q30" s="46">
        <f t="shared" si="1"/>
        <v>10074.629355999999</v>
      </c>
      <c r="S30" s="20">
        <f>AVERAGE(D18:O29)</f>
        <v>76.905567603053399</v>
      </c>
    </row>
    <row r="31" spans="1:19" outlineLevel="1">
      <c r="A31" s="103" t="s">
        <v>18</v>
      </c>
      <c r="B31" s="54" t="s">
        <v>19</v>
      </c>
      <c r="C31" s="55">
        <f>'Control Consumo R - 2011'!O28</f>
        <v>68.944774999999993</v>
      </c>
      <c r="D31" s="55">
        <v>65.816000000000003</v>
      </c>
      <c r="E31" s="55">
        <v>55.428900000000006</v>
      </c>
      <c r="F31" s="55">
        <v>56.173200000000001</v>
      </c>
      <c r="G31" s="55">
        <v>52.0002</v>
      </c>
      <c r="H31" s="55">
        <v>54.979199999999999</v>
      </c>
      <c r="I31" s="55">
        <v>54.318600000000011</v>
      </c>
      <c r="J31" s="55">
        <v>56.048200000000001</v>
      </c>
      <c r="K31" s="55">
        <v>54.5642</v>
      </c>
      <c r="L31" s="55">
        <v>61.99219999999999</v>
      </c>
      <c r="M31" s="55">
        <v>54.753499999999988</v>
      </c>
      <c r="N31" s="55">
        <v>53.202199999999998</v>
      </c>
      <c r="O31" s="56">
        <v>52.290199999999999</v>
      </c>
      <c r="P31" s="57">
        <f t="shared" si="0"/>
        <v>55.963883333333335</v>
      </c>
      <c r="Q31" s="58">
        <f t="shared" si="1"/>
        <v>671.56659999999999</v>
      </c>
    </row>
    <row r="32" spans="1:19" outlineLevel="2">
      <c r="A32" s="104"/>
      <c r="B32" s="49" t="s">
        <v>20</v>
      </c>
      <c r="C32" s="50">
        <f>'Control Consumo R - 2011'!O29</f>
        <v>53.862166666666667</v>
      </c>
      <c r="D32" s="50">
        <v>52.556000000000004</v>
      </c>
      <c r="E32" s="50">
        <v>52.795999999999999</v>
      </c>
      <c r="F32" s="50">
        <v>52.556000000000004</v>
      </c>
      <c r="G32" s="50">
        <v>52.556000000000004</v>
      </c>
      <c r="H32" s="50">
        <v>52.556000000000004</v>
      </c>
      <c r="I32" s="50">
        <v>52.556000000000004</v>
      </c>
      <c r="J32" s="50">
        <v>52.556000000000004</v>
      </c>
      <c r="K32" s="50">
        <v>53.239300000000007</v>
      </c>
      <c r="L32" s="50">
        <v>52.556000000000004</v>
      </c>
      <c r="M32" s="50">
        <v>52.556000000000004</v>
      </c>
      <c r="N32" s="50">
        <v>52.556000000000004</v>
      </c>
      <c r="O32" s="51">
        <v>52.556000000000004</v>
      </c>
      <c r="P32" s="52">
        <f t="shared" si="0"/>
        <v>52.632941666666675</v>
      </c>
      <c r="Q32" s="53">
        <f t="shared" si="1"/>
        <v>631.59530000000007</v>
      </c>
    </row>
    <row r="33" spans="1:19" outlineLevel="2">
      <c r="A33" s="104"/>
      <c r="B33" s="49" t="s">
        <v>38</v>
      </c>
      <c r="C33" s="59">
        <f>'Control Consumo R - 2011'!O30</f>
        <v>94.669550000000001</v>
      </c>
      <c r="D33" s="60">
        <v>52.862099999999998</v>
      </c>
      <c r="E33" s="60">
        <v>52.617999999999995</v>
      </c>
      <c r="F33" s="60">
        <v>51.657749999999993</v>
      </c>
      <c r="G33" s="50">
        <v>52.552849999999992</v>
      </c>
      <c r="H33" s="50">
        <v>52.304999999999993</v>
      </c>
      <c r="I33" s="50">
        <v>53.5</v>
      </c>
      <c r="J33" s="50">
        <v>52.167999999999999</v>
      </c>
      <c r="K33" s="50">
        <v>52.687999999999995</v>
      </c>
      <c r="L33" s="50">
        <v>51.996000000000002</v>
      </c>
      <c r="M33" s="50">
        <v>52.140000000000008</v>
      </c>
      <c r="N33" s="50">
        <v>52.344000000000001</v>
      </c>
      <c r="O33" s="50">
        <v>52.654500000000006</v>
      </c>
      <c r="P33" s="50">
        <f t="shared" si="0"/>
        <v>52.45718333333334</v>
      </c>
      <c r="Q33" s="50">
        <f>SUM(D33:O33)</f>
        <v>629.48620000000005</v>
      </c>
    </row>
    <row r="34" spans="1:19" outlineLevel="2">
      <c r="A34" s="104"/>
      <c r="B34" s="49" t="s">
        <v>39</v>
      </c>
      <c r="C34" s="59">
        <f>'Control Consumo R - 2011'!O31</f>
        <v>0</v>
      </c>
      <c r="D34" s="60">
        <v>52.862099999999998</v>
      </c>
      <c r="E34" s="60">
        <v>52.617999999999995</v>
      </c>
      <c r="F34" s="60">
        <v>51.657749999999993</v>
      </c>
      <c r="G34" s="50">
        <v>52.552849999999992</v>
      </c>
      <c r="H34" s="50">
        <f>36.9004+18</f>
        <v>54.900399999999998</v>
      </c>
      <c r="I34" s="50">
        <f>51.996+17.1663</f>
        <v>69.162300000000002</v>
      </c>
      <c r="J34" s="50">
        <f>51.996+9.8709</f>
        <v>61.866900000000001</v>
      </c>
      <c r="K34" s="50">
        <v>51.996000000000002</v>
      </c>
      <c r="L34" s="50">
        <v>51.996000000000002</v>
      </c>
      <c r="M34" s="50">
        <v>51.996000000000002</v>
      </c>
      <c r="N34" s="50">
        <v>51.996000000000002</v>
      </c>
      <c r="O34" s="50">
        <v>51.996000000000002</v>
      </c>
      <c r="P34" s="50">
        <f t="shared" ref="P34" si="9">AVERAGE(D34:O34)</f>
        <v>54.633358333333327</v>
      </c>
      <c r="Q34" s="50">
        <f>SUM(D34:O34)</f>
        <v>655.60029999999995</v>
      </c>
    </row>
    <row r="35" spans="1:19" ht="15" outlineLevel="2" thickBot="1">
      <c r="A35" s="22" t="s">
        <v>33</v>
      </c>
      <c r="B35" s="17"/>
      <c r="C35" s="18">
        <f>'Control Consumo R - 2011'!O32</f>
        <v>217.47649166666667</v>
      </c>
      <c r="D35" s="18">
        <f t="shared" ref="D35:O35" si="10">SUBTOTAL(9,D31:D34)</f>
        <v>224.09620000000001</v>
      </c>
      <c r="E35" s="18">
        <f t="shared" si="10"/>
        <v>213.46089999999998</v>
      </c>
      <c r="F35" s="18">
        <f t="shared" si="10"/>
        <v>212.04470000000001</v>
      </c>
      <c r="G35" s="18">
        <f t="shared" si="10"/>
        <v>209.6619</v>
      </c>
      <c r="H35" s="18">
        <f t="shared" si="10"/>
        <v>214.74059999999997</v>
      </c>
      <c r="I35" s="18">
        <f t="shared" si="10"/>
        <v>229.5369</v>
      </c>
      <c r="J35" s="18">
        <f t="shared" si="10"/>
        <v>222.63909999999998</v>
      </c>
      <c r="K35" s="18">
        <f t="shared" si="10"/>
        <v>212.48750000000001</v>
      </c>
      <c r="L35" s="18">
        <f t="shared" si="10"/>
        <v>218.5402</v>
      </c>
      <c r="M35" s="18">
        <f t="shared" si="10"/>
        <v>211.44550000000001</v>
      </c>
      <c r="N35" s="18">
        <f t="shared" si="10"/>
        <v>210.09820000000002</v>
      </c>
      <c r="O35" s="19">
        <f t="shared" si="10"/>
        <v>209.49670000000003</v>
      </c>
      <c r="P35" s="41">
        <f>AVERAGE(D35:O35)</f>
        <v>215.68736666666666</v>
      </c>
      <c r="Q35" s="46">
        <f>SUM(D35:O35)</f>
        <v>2588.2483999999999</v>
      </c>
      <c r="S35" s="20">
        <f>AVERAGE(D31:O34)</f>
        <v>53.921841666666694</v>
      </c>
    </row>
    <row r="36" spans="1:19" ht="15" outlineLevel="1" thickBot="1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47"/>
      <c r="Q36" s="48"/>
    </row>
    <row r="37" spans="1:19" ht="15" outlineLevel="1" thickBot="1">
      <c r="A37" s="28" t="s">
        <v>27</v>
      </c>
      <c r="B37" s="29"/>
      <c r="C37" s="30">
        <f>'Control Consumo R - 2011'!O34</f>
        <v>4687.8368666666656</v>
      </c>
      <c r="D37" s="30">
        <f t="shared" ref="D37:O37" si="11">SUBTOTAL(9,D2:D34)</f>
        <v>4466.7647999999999</v>
      </c>
      <c r="E37" s="30">
        <f t="shared" si="11"/>
        <v>4365.1719000000003</v>
      </c>
      <c r="F37" s="30">
        <f t="shared" si="11"/>
        <v>4652.0267000000013</v>
      </c>
      <c r="G37" s="30">
        <f t="shared" si="11"/>
        <v>4421.5768000000007</v>
      </c>
      <c r="H37" s="30">
        <f t="shared" si="11"/>
        <v>4682.1712000000007</v>
      </c>
      <c r="I37" s="30">
        <f t="shared" si="11"/>
        <v>4312.2343000000001</v>
      </c>
      <c r="J37" s="30">
        <f t="shared" si="11"/>
        <v>4042.0627000000004</v>
      </c>
      <c r="K37" s="30">
        <f t="shared" si="11"/>
        <v>4407.0153</v>
      </c>
      <c r="L37" s="30">
        <f t="shared" si="11"/>
        <v>4248.6629999999996</v>
      </c>
      <c r="M37" s="30">
        <f t="shared" si="11"/>
        <v>4300.1165999999985</v>
      </c>
      <c r="N37" s="30">
        <f t="shared" si="11"/>
        <v>1106.5105000000001</v>
      </c>
      <c r="O37" s="31">
        <f t="shared" si="11"/>
        <v>4336.0110159999995</v>
      </c>
      <c r="P37" s="43">
        <f>AVERAGE(D37:O37)</f>
        <v>4111.6937346666664</v>
      </c>
      <c r="Q37" s="44">
        <f t="shared" si="1"/>
        <v>49340.324816</v>
      </c>
    </row>
    <row r="38" spans="1:19" ht="15" thickBo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2"/>
      <c r="P38" s="47"/>
      <c r="Q38" s="48"/>
      <c r="S38" s="2"/>
    </row>
    <row r="39" spans="1:19" ht="15" thickBot="1">
      <c r="A39" s="33" t="s">
        <v>26</v>
      </c>
      <c r="B39" s="29"/>
      <c r="C39" s="30">
        <f>'Control Consumo R - 2011'!O36</f>
        <v>4684.5563166666661</v>
      </c>
      <c r="D39" s="30">
        <v>4466.7646999999997</v>
      </c>
      <c r="E39" s="30">
        <v>4365.1718000000001</v>
      </c>
      <c r="F39" s="30">
        <v>4652.027</v>
      </c>
      <c r="G39" s="30">
        <v>4421.5769</v>
      </c>
      <c r="H39" s="30">
        <v>4682.1711999999998</v>
      </c>
      <c r="I39" s="30">
        <v>4312.2341999999999</v>
      </c>
      <c r="J39" s="30">
        <v>4042.0626999999999</v>
      </c>
      <c r="K39" s="30">
        <v>4406.9252999999999</v>
      </c>
      <c r="L39" s="30">
        <v>4249.0609999999997</v>
      </c>
      <c r="M39" s="30">
        <v>4300.1166999999996</v>
      </c>
      <c r="N39" s="30">
        <v>1106.5103999999999</v>
      </c>
      <c r="O39" s="31">
        <v>4336.01</v>
      </c>
      <c r="P39" s="43">
        <f>AVERAGE(D39:O39)</f>
        <v>4111.719325</v>
      </c>
      <c r="Q39" s="44">
        <f t="shared" si="1"/>
        <v>49340.6319</v>
      </c>
    </row>
    <row r="40" spans="1:19" s="37" customFormat="1">
      <c r="A40" s="35"/>
      <c r="B40" s="35"/>
      <c r="C40" s="3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S40"/>
    </row>
    <row r="41" spans="1:19">
      <c r="K41" s="38"/>
    </row>
    <row r="44" spans="1:19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4">
    <mergeCell ref="A2:A6"/>
    <mergeCell ref="A8:A16"/>
    <mergeCell ref="A31:A34"/>
    <mergeCell ref="A18:A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topLeftCell="A19" workbookViewId="0">
      <selection activeCell="D1" sqref="D1"/>
    </sheetView>
  </sheetViews>
  <sheetFormatPr baseColWidth="10" defaultColWidth="11.44140625" defaultRowHeight="14.4" outlineLevelRow="2"/>
  <cols>
    <col min="1" max="1" width="25.44140625" style="35" customWidth="1"/>
    <col min="2" max="2" width="10" style="35" bestFit="1" customWidth="1"/>
    <col min="3" max="3" width="15" style="35" bestFit="1" customWidth="1"/>
    <col min="4" max="4" width="14.109375" style="35" bestFit="1" customWidth="1"/>
    <col min="5" max="5" width="13.6640625" bestFit="1" customWidth="1"/>
    <col min="6" max="7" width="12.6640625" bestFit="1" customWidth="1"/>
    <col min="8" max="10" width="12" bestFit="1" customWidth="1"/>
    <col min="11" max="14" width="11.5546875" bestFit="1" customWidth="1"/>
    <col min="15" max="15" width="12.33203125" bestFit="1" customWidth="1"/>
    <col min="16" max="16" width="11.5546875" bestFit="1" customWidth="1"/>
    <col min="17" max="17" width="14.109375" bestFit="1" customWidth="1"/>
    <col min="18" max="18" width="12.5546875" bestFit="1" customWidth="1"/>
    <col min="19" max="19" width="11.44140625" style="35"/>
    <col min="20" max="20" width="23.88671875" bestFit="1" customWidth="1"/>
    <col min="21" max="16384" width="11.44140625" style="35"/>
  </cols>
  <sheetData>
    <row r="1" spans="1:20" ht="15" thickBot="1">
      <c r="A1" s="3"/>
      <c r="B1" s="71" t="s">
        <v>47</v>
      </c>
      <c r="C1" s="3"/>
      <c r="D1" s="5" t="str">
        <f>'Control Consumo R - 2012'!P1</f>
        <v>Promedio 2012</v>
      </c>
      <c r="E1" s="5">
        <v>41275</v>
      </c>
      <c r="F1" s="5">
        <v>41306</v>
      </c>
      <c r="G1" s="5">
        <v>41334</v>
      </c>
      <c r="H1" s="5">
        <v>41365</v>
      </c>
      <c r="I1" s="5">
        <v>41395</v>
      </c>
      <c r="J1" s="5">
        <v>41426</v>
      </c>
      <c r="K1" s="5">
        <v>41456</v>
      </c>
      <c r="L1" s="5">
        <v>41487</v>
      </c>
      <c r="M1" s="5">
        <v>41518</v>
      </c>
      <c r="N1" s="5">
        <v>41548</v>
      </c>
      <c r="O1" s="5">
        <v>41579</v>
      </c>
      <c r="P1" s="5">
        <v>41609</v>
      </c>
      <c r="Q1" s="42" t="s">
        <v>45</v>
      </c>
      <c r="R1" s="34" t="s">
        <v>46</v>
      </c>
      <c r="T1" s="8" t="s">
        <v>40</v>
      </c>
    </row>
    <row r="2" spans="1:20" outlineLevel="2">
      <c r="A2" s="105" t="s">
        <v>0</v>
      </c>
      <c r="B2" s="62"/>
      <c r="C2" s="9" t="s">
        <v>22</v>
      </c>
      <c r="D2" s="10">
        <f>'Control Consumo R - 2012'!P2</f>
        <v>2631.2527166666664</v>
      </c>
      <c r="E2" s="10">
        <v>2481.4798999999989</v>
      </c>
      <c r="F2" s="10">
        <v>2537.5001999999999</v>
      </c>
      <c r="G2" s="10">
        <v>2481.2375000000002</v>
      </c>
      <c r="H2" s="10">
        <v>2470.6644999999994</v>
      </c>
      <c r="I2" s="10">
        <v>2473.1928000000007</v>
      </c>
      <c r="J2" s="10">
        <v>2476.2826</v>
      </c>
      <c r="K2" s="10">
        <v>2475.1905000000002</v>
      </c>
      <c r="L2" s="10">
        <v>2571.1169000000004</v>
      </c>
      <c r="M2" s="10">
        <v>2473.4834000000001</v>
      </c>
      <c r="N2" s="10">
        <v>2479.6570999999999</v>
      </c>
      <c r="O2" s="10">
        <v>2479.2997999999993</v>
      </c>
      <c r="P2" s="11">
        <v>2472.5504999999994</v>
      </c>
      <c r="Q2" s="45">
        <f t="shared" ref="Q2:Q35" si="0">AVERAGE(E2:P2)</f>
        <v>2489.3046416666671</v>
      </c>
      <c r="R2" s="36">
        <f>SUM(E2:P2)</f>
        <v>29871.655700000003</v>
      </c>
    </row>
    <row r="3" spans="1:20" outlineLevel="2">
      <c r="A3" s="106"/>
      <c r="B3" s="63"/>
      <c r="C3" s="12" t="s">
        <v>21</v>
      </c>
      <c r="D3" s="13">
        <f>'Control Consumo R - 2012'!P3</f>
        <v>48</v>
      </c>
      <c r="E3" s="13">
        <v>48</v>
      </c>
      <c r="F3" s="13"/>
      <c r="G3" s="13">
        <v>120</v>
      </c>
      <c r="H3" s="13"/>
      <c r="I3" s="13"/>
      <c r="J3" s="13"/>
      <c r="K3" s="13"/>
      <c r="L3" s="13"/>
      <c r="M3" s="13"/>
      <c r="N3" s="13"/>
      <c r="O3" s="13"/>
      <c r="P3" s="14">
        <v>24</v>
      </c>
      <c r="Q3" s="39">
        <f t="shared" si="0"/>
        <v>64</v>
      </c>
      <c r="R3" s="40">
        <f t="shared" ref="R3:R40" si="1">SUM(E3:P3)</f>
        <v>192</v>
      </c>
    </row>
    <row r="4" spans="1:20" outlineLevel="2">
      <c r="A4" s="106"/>
      <c r="B4" s="63"/>
      <c r="C4" s="12" t="s">
        <v>25</v>
      </c>
      <c r="D4" s="13">
        <f>'Control Consumo R - 2012'!P4</f>
        <v>49.907499999999992</v>
      </c>
      <c r="E4" s="13">
        <v>49.9</v>
      </c>
      <c r="F4" s="13">
        <v>49.9</v>
      </c>
      <c r="G4" s="13">
        <v>49.9</v>
      </c>
      <c r="H4" s="13">
        <v>49.9</v>
      </c>
      <c r="I4" s="13">
        <v>49.9</v>
      </c>
      <c r="J4" s="13">
        <v>49.9</v>
      </c>
      <c r="K4" s="13">
        <v>49.9</v>
      </c>
      <c r="L4" s="13">
        <v>49.9</v>
      </c>
      <c r="M4" s="13">
        <v>49.900000000000006</v>
      </c>
      <c r="N4" s="13">
        <v>49.900000000000006</v>
      </c>
      <c r="O4" s="13">
        <v>49.9</v>
      </c>
      <c r="P4" s="14">
        <v>49.900000000000006</v>
      </c>
      <c r="Q4" s="39">
        <f t="shared" si="0"/>
        <v>49.899999999999984</v>
      </c>
      <c r="R4" s="40">
        <f t="shared" si="1"/>
        <v>598.79999999999984</v>
      </c>
    </row>
    <row r="5" spans="1:20" outlineLevel="2">
      <c r="A5" s="106"/>
      <c r="B5" s="63"/>
      <c r="C5" s="12" t="s">
        <v>34</v>
      </c>
      <c r="D5" s="13">
        <f>'Control Consumo R - 2012'!P5</f>
        <v>-448.43333749999999</v>
      </c>
      <c r="E5" s="13"/>
      <c r="F5" s="13"/>
      <c r="G5" s="13">
        <v>-6.6040999999999999</v>
      </c>
      <c r="H5" s="13">
        <v>-7.3936000000000002</v>
      </c>
      <c r="I5" s="13"/>
      <c r="J5" s="13"/>
      <c r="K5" s="13"/>
      <c r="L5" s="13"/>
      <c r="M5" s="13"/>
      <c r="N5" s="13"/>
      <c r="O5" s="13"/>
      <c r="P5" s="14"/>
      <c r="Q5" s="39">
        <f t="shared" si="0"/>
        <v>-6.99885</v>
      </c>
      <c r="R5" s="40">
        <f t="shared" si="1"/>
        <v>-13.9977</v>
      </c>
    </row>
    <row r="6" spans="1:20" outlineLevel="2">
      <c r="A6" s="107"/>
      <c r="B6" s="64"/>
      <c r="C6" s="12" t="s">
        <v>24</v>
      </c>
      <c r="D6" s="13">
        <f>'Control Consumo R - 2012'!P6</f>
        <v>90</v>
      </c>
      <c r="E6" s="13">
        <v>90</v>
      </c>
      <c r="F6" s="13">
        <v>90</v>
      </c>
      <c r="G6" s="13">
        <v>90</v>
      </c>
      <c r="H6" s="13">
        <v>90</v>
      </c>
      <c r="I6" s="13">
        <v>90</v>
      </c>
      <c r="J6" s="13">
        <v>90</v>
      </c>
      <c r="K6" s="13">
        <v>90</v>
      </c>
      <c r="L6" s="13">
        <v>90</v>
      </c>
      <c r="M6" s="13">
        <v>90</v>
      </c>
      <c r="N6" s="13">
        <v>90</v>
      </c>
      <c r="O6" s="13">
        <v>90</v>
      </c>
      <c r="P6" s="14">
        <v>90</v>
      </c>
      <c r="Q6" s="39">
        <f t="shared" si="0"/>
        <v>90</v>
      </c>
      <c r="R6" s="40">
        <f t="shared" si="1"/>
        <v>1080</v>
      </c>
    </row>
    <row r="7" spans="1:20" ht="15" outlineLevel="1" thickBot="1">
      <c r="A7" s="16" t="s">
        <v>28</v>
      </c>
      <c r="B7" s="65">
        <v>62910182</v>
      </c>
      <c r="C7" s="17"/>
      <c r="D7" s="18">
        <f>'Control Consumo R - 2012'!P7</f>
        <v>2488.2046583333336</v>
      </c>
      <c r="E7" s="18">
        <f>SUBTOTAL(9,E2:E6)</f>
        <v>2669.379899999999</v>
      </c>
      <c r="F7" s="18">
        <f t="shared" ref="F7:P7" si="2">SUBTOTAL(9,F2:F6)</f>
        <v>2677.4002</v>
      </c>
      <c r="G7" s="18">
        <f t="shared" si="2"/>
        <v>2734.5334000000003</v>
      </c>
      <c r="H7" s="18">
        <f t="shared" si="2"/>
        <v>2603.1708999999996</v>
      </c>
      <c r="I7" s="18">
        <f t="shared" si="2"/>
        <v>2613.0928000000008</v>
      </c>
      <c r="J7" s="18">
        <f t="shared" si="2"/>
        <v>2616.1826000000001</v>
      </c>
      <c r="K7" s="18">
        <f t="shared" si="2"/>
        <v>2615.0905000000002</v>
      </c>
      <c r="L7" s="18">
        <f t="shared" si="2"/>
        <v>2711.0169000000005</v>
      </c>
      <c r="M7" s="18">
        <f t="shared" si="2"/>
        <v>2613.3834000000002</v>
      </c>
      <c r="N7" s="18">
        <f t="shared" si="2"/>
        <v>2619.5571</v>
      </c>
      <c r="O7" s="18">
        <f t="shared" si="2"/>
        <v>2619.1997999999994</v>
      </c>
      <c r="P7" s="19">
        <f t="shared" si="2"/>
        <v>2636.4504999999995</v>
      </c>
      <c r="Q7" s="41">
        <f t="shared" si="0"/>
        <v>2644.0381666666663</v>
      </c>
      <c r="R7" s="46">
        <f t="shared" si="1"/>
        <v>31728.457999999995</v>
      </c>
    </row>
    <row r="8" spans="1:20" outlineLevel="2">
      <c r="A8" s="103" t="s">
        <v>29</v>
      </c>
      <c r="B8" s="66">
        <v>62910106</v>
      </c>
      <c r="C8" s="21" t="s">
        <v>11</v>
      </c>
      <c r="D8" s="10">
        <f>'Control Consumo R - 2012'!P8</f>
        <v>52.536999999999999</v>
      </c>
      <c r="E8" s="10">
        <v>52.38730000000001</v>
      </c>
      <c r="F8" s="10">
        <v>54.161999999999999</v>
      </c>
      <c r="G8" s="10">
        <v>54.467999999999996</v>
      </c>
      <c r="H8" s="10">
        <v>55.298000000000016</v>
      </c>
      <c r="I8" s="10">
        <v>54.430600000000005</v>
      </c>
      <c r="J8" s="10">
        <v>52.191299999999998</v>
      </c>
      <c r="K8" s="10">
        <v>53.8626</v>
      </c>
      <c r="L8" s="10">
        <v>52.180000000000007</v>
      </c>
      <c r="M8" s="10">
        <v>54.411400000000008</v>
      </c>
      <c r="N8" s="10">
        <v>52.382000000000005</v>
      </c>
      <c r="O8" s="10">
        <v>55.378599999999999</v>
      </c>
      <c r="P8" s="11">
        <v>53.024700000000003</v>
      </c>
      <c r="Q8" s="45">
        <f t="shared" si="0"/>
        <v>53.68137500000001</v>
      </c>
      <c r="R8" s="36">
        <f t="shared" si="1"/>
        <v>644.17650000000015</v>
      </c>
    </row>
    <row r="9" spans="1:20" outlineLevel="2">
      <c r="A9" s="104"/>
      <c r="B9" s="67">
        <v>62910104</v>
      </c>
      <c r="C9" s="12" t="s">
        <v>12</v>
      </c>
      <c r="D9" s="13">
        <f>'Control Consumo R - 2012'!P9</f>
        <v>52.801616666666661</v>
      </c>
      <c r="E9" s="13">
        <v>53.163909999999994</v>
      </c>
      <c r="F9" s="13">
        <v>52.713989999999995</v>
      </c>
      <c r="G9" s="13">
        <v>53.763741999999993</v>
      </c>
      <c r="H9" s="13">
        <v>52.776000000000003</v>
      </c>
      <c r="I9" s="13">
        <v>52.199979999999996</v>
      </c>
      <c r="J9" s="13">
        <v>52.52</v>
      </c>
      <c r="K9" s="13">
        <v>53.003970000000002</v>
      </c>
      <c r="L9" s="13">
        <v>52.722000000000001</v>
      </c>
      <c r="M9" s="13">
        <v>54.729289999999999</v>
      </c>
      <c r="N9" s="13">
        <v>52.592700000000001</v>
      </c>
      <c r="O9" s="13">
        <v>52.444000000000003</v>
      </c>
      <c r="P9" s="14">
        <v>52.248000000000005</v>
      </c>
      <c r="Q9" s="39">
        <f t="shared" si="0"/>
        <v>52.906465166666663</v>
      </c>
      <c r="R9" s="40">
        <f t="shared" si="1"/>
        <v>634.87758199999996</v>
      </c>
    </row>
    <row r="10" spans="1:20" outlineLevel="2">
      <c r="A10" s="104"/>
      <c r="B10" s="67">
        <v>62910102</v>
      </c>
      <c r="C10" s="12" t="s">
        <v>13</v>
      </c>
      <c r="D10" s="13">
        <f>'Control Consumo R - 2012'!P10</f>
        <v>92.098650000000006</v>
      </c>
      <c r="E10" s="13">
        <v>87.269400000000005</v>
      </c>
      <c r="F10" s="13">
        <v>93.77940000000001</v>
      </c>
      <c r="G10" s="13">
        <v>89.51560000000002</v>
      </c>
      <c r="H10" s="13">
        <v>87.103400000000008</v>
      </c>
      <c r="I10" s="13">
        <v>90.121400000000023</v>
      </c>
      <c r="J10" s="13">
        <v>86.294700000000006</v>
      </c>
      <c r="K10" s="13">
        <v>87.363400000000013</v>
      </c>
      <c r="L10" s="13">
        <v>88.250000000000014</v>
      </c>
      <c r="M10" s="13">
        <v>90.196700000000021</v>
      </c>
      <c r="N10" s="13">
        <v>88.560100000000006</v>
      </c>
      <c r="O10" s="13">
        <v>86.803400000000011</v>
      </c>
      <c r="P10" s="14">
        <v>87.083400000000012</v>
      </c>
      <c r="Q10" s="39">
        <f t="shared" si="0"/>
        <v>88.528408333333346</v>
      </c>
      <c r="R10" s="40">
        <f t="shared" si="1"/>
        <v>1062.3409000000001</v>
      </c>
    </row>
    <row r="11" spans="1:20" outlineLevel="2">
      <c r="A11" s="104"/>
      <c r="B11" s="67">
        <v>62910105</v>
      </c>
      <c r="C11" s="12" t="s">
        <v>14</v>
      </c>
      <c r="D11" s="13">
        <f>'Control Consumo R - 2012'!P11</f>
        <v>52.998549999999994</v>
      </c>
      <c r="E11" s="13">
        <v>55.642699999999998</v>
      </c>
      <c r="F11" s="13">
        <v>52.793199999999992</v>
      </c>
      <c r="G11" s="13">
        <v>50.535400000000003</v>
      </c>
      <c r="H11" s="13">
        <v>51.499400000000001</v>
      </c>
      <c r="I11" s="13">
        <v>58.177399999999999</v>
      </c>
      <c r="J11" s="13">
        <v>50.651400000000002</v>
      </c>
      <c r="K11" s="13">
        <v>53.897399999999998</v>
      </c>
      <c r="L11" s="13">
        <v>50.837400000000002</v>
      </c>
      <c r="M11" s="13">
        <v>50.107400000000005</v>
      </c>
      <c r="N11" s="13">
        <v>50.023400000000002</v>
      </c>
      <c r="O11" s="13">
        <v>50.049400000000006</v>
      </c>
      <c r="P11" s="14">
        <v>50.145399999999995</v>
      </c>
      <c r="Q11" s="39">
        <f t="shared" si="0"/>
        <v>52.029991666666668</v>
      </c>
      <c r="R11" s="40">
        <f t="shared" si="1"/>
        <v>624.35990000000004</v>
      </c>
    </row>
    <row r="12" spans="1:20" outlineLevel="2">
      <c r="A12" s="104"/>
      <c r="B12" s="67">
        <v>62910103</v>
      </c>
      <c r="C12" s="12" t="s">
        <v>15</v>
      </c>
      <c r="D12" s="13">
        <f>'Control Consumo R - 2012'!P12</f>
        <v>50.293683333333341</v>
      </c>
      <c r="E12" s="12">
        <v>50.925300000000007</v>
      </c>
      <c r="F12" s="13">
        <v>50.444000000000003</v>
      </c>
      <c r="G12" s="13">
        <v>49.996000000000002</v>
      </c>
      <c r="H12" s="13">
        <v>49.996000000000002</v>
      </c>
      <c r="I12" s="13">
        <v>49.996000000000002</v>
      </c>
      <c r="J12" s="13">
        <v>50.35</v>
      </c>
      <c r="K12" s="13">
        <v>50.033999999999999</v>
      </c>
      <c r="L12" s="13">
        <v>49.996000000000002</v>
      </c>
      <c r="M12" s="13">
        <v>50.095990000000008</v>
      </c>
      <c r="N12" s="13">
        <v>50.183299999999996</v>
      </c>
      <c r="O12" s="13">
        <v>50.06600000000001</v>
      </c>
      <c r="P12" s="14">
        <v>49.996000000000002</v>
      </c>
      <c r="Q12" s="39">
        <f t="shared" si="0"/>
        <v>50.17321583333333</v>
      </c>
      <c r="R12" s="40">
        <f t="shared" si="1"/>
        <v>602.07858999999996</v>
      </c>
    </row>
    <row r="13" spans="1:20" outlineLevel="2">
      <c r="A13" s="104"/>
      <c r="B13" s="67">
        <v>62910110</v>
      </c>
      <c r="C13" s="12" t="s">
        <v>16</v>
      </c>
      <c r="D13" s="13">
        <f>'Control Consumo R - 2012'!P13</f>
        <v>53.222916666666663</v>
      </c>
      <c r="E13" s="12">
        <v>53.304700000000004</v>
      </c>
      <c r="F13" s="13">
        <v>53.214000000000006</v>
      </c>
      <c r="G13" s="13">
        <v>53.442</v>
      </c>
      <c r="H13" s="13">
        <v>53.244000000000007</v>
      </c>
      <c r="I13" s="13">
        <v>52.996000000000002</v>
      </c>
      <c r="J13" s="13">
        <v>55.085999999999999</v>
      </c>
      <c r="K13" s="13">
        <v>53.349999999999994</v>
      </c>
      <c r="L13" s="13">
        <v>53.072000000000003</v>
      </c>
      <c r="M13" s="13">
        <v>54.587299999999999</v>
      </c>
      <c r="N13" s="13">
        <v>53.001999999999995</v>
      </c>
      <c r="O13" s="13">
        <v>53.648000000000003</v>
      </c>
      <c r="P13" s="14">
        <v>53.063999999999993</v>
      </c>
      <c r="Q13" s="39">
        <f t="shared" si="0"/>
        <v>53.500833333333333</v>
      </c>
      <c r="R13" s="40">
        <f t="shared" si="1"/>
        <v>642.01</v>
      </c>
    </row>
    <row r="14" spans="1:20" outlineLevel="2">
      <c r="A14" s="104"/>
      <c r="B14" s="67">
        <v>62910107</v>
      </c>
      <c r="C14" s="12" t="s">
        <v>23</v>
      </c>
      <c r="D14" s="13">
        <f>'Control Consumo R - 2012'!P14</f>
        <v>89.662672499999985</v>
      </c>
      <c r="E14" s="13">
        <v>89.602899999999991</v>
      </c>
      <c r="F14" s="13">
        <v>90.8429</v>
      </c>
      <c r="G14" s="13">
        <v>89.602899999999991</v>
      </c>
      <c r="H14" s="13">
        <v>89.602899999999991</v>
      </c>
      <c r="I14" s="13">
        <v>89.602899999999991</v>
      </c>
      <c r="J14" s="13">
        <v>89.602900000000005</v>
      </c>
      <c r="K14" s="13">
        <v>89.884899999999988</v>
      </c>
      <c r="L14" s="13">
        <v>89.602899999999991</v>
      </c>
      <c r="M14" s="13">
        <v>89.602899999999991</v>
      </c>
      <c r="N14" s="13">
        <v>89.943599999999989</v>
      </c>
      <c r="O14" s="13">
        <v>89.776899999999998</v>
      </c>
      <c r="P14" s="14">
        <v>89.751539999999991</v>
      </c>
      <c r="Q14" s="39">
        <f t="shared" si="0"/>
        <v>89.785011666666662</v>
      </c>
      <c r="R14" s="40">
        <f t="shared" si="1"/>
        <v>1077.4201399999999</v>
      </c>
    </row>
    <row r="15" spans="1:20" outlineLevel="2">
      <c r="A15" s="104"/>
      <c r="B15" s="67">
        <v>62910114</v>
      </c>
      <c r="C15" s="12" t="s">
        <v>17</v>
      </c>
      <c r="D15" s="13">
        <f>'Control Consumo R - 2012'!P15</f>
        <v>89.240458333333322</v>
      </c>
      <c r="E15" s="13">
        <v>56.056841999999982</v>
      </c>
      <c r="F15" s="13">
        <v>48.71380000000002</v>
      </c>
      <c r="G15" s="13">
        <v>43.418999999999997</v>
      </c>
      <c r="H15" s="13">
        <v>36.3857</v>
      </c>
      <c r="I15" s="13">
        <v>36.003399999999999</v>
      </c>
      <c r="J15" s="13">
        <v>36.003399999999999</v>
      </c>
      <c r="K15" s="13">
        <v>36.461359999999999</v>
      </c>
      <c r="L15" s="13">
        <v>36.003399999999999</v>
      </c>
      <c r="M15" s="13">
        <v>36.337399999999995</v>
      </c>
      <c r="N15" s="13">
        <v>36.6374</v>
      </c>
      <c r="O15" s="13">
        <v>36.003399999999999</v>
      </c>
      <c r="P15" s="14">
        <v>37.152689999999993</v>
      </c>
      <c r="Q15" s="39">
        <f t="shared" si="0"/>
        <v>39.598149333333332</v>
      </c>
      <c r="R15" s="40">
        <f t="shared" si="1"/>
        <v>475.17779200000001</v>
      </c>
    </row>
    <row r="16" spans="1:20" outlineLevel="2">
      <c r="A16" s="104"/>
      <c r="B16" s="67">
        <v>62910236</v>
      </c>
      <c r="C16" s="12" t="s">
        <v>43</v>
      </c>
      <c r="D16" s="13">
        <f>'Control Consumo R - 2012'!P16</f>
        <v>53.090573750000004</v>
      </c>
      <c r="E16" s="13">
        <v>53.10219</v>
      </c>
      <c r="F16" s="13">
        <v>53.190199999999997</v>
      </c>
      <c r="G16" s="13">
        <v>53.342199999999991</v>
      </c>
      <c r="H16" s="13">
        <v>54.708199999999998</v>
      </c>
      <c r="I16" s="13">
        <v>54.241189999999996</v>
      </c>
      <c r="J16" s="13">
        <v>53.402200000000001</v>
      </c>
      <c r="K16" s="13">
        <v>53.560190000000006</v>
      </c>
      <c r="L16" s="13">
        <v>53.464190000000002</v>
      </c>
      <c r="M16" s="13">
        <v>53.144199999999991</v>
      </c>
      <c r="N16" s="13">
        <v>56.682189999999999</v>
      </c>
      <c r="O16" s="13">
        <v>55.265490000000007</v>
      </c>
      <c r="P16" s="14">
        <v>54.458399999999997</v>
      </c>
      <c r="Q16" s="39">
        <f t="shared" si="0"/>
        <v>54.046736666666675</v>
      </c>
      <c r="R16" s="40">
        <f t="shared" si="1"/>
        <v>648.5608400000001</v>
      </c>
    </row>
    <row r="17" spans="1:20" ht="15" outlineLevel="1" thickBot="1">
      <c r="A17" s="22" t="s">
        <v>30</v>
      </c>
      <c r="B17" s="74"/>
      <c r="C17" s="17"/>
      <c r="D17" s="18">
        <f>'Control Consumo R - 2012'!P17</f>
        <v>568.24926333333337</v>
      </c>
      <c r="E17" s="18">
        <f t="shared" ref="E17:P17" si="3">SUBTOTAL(9,E8:E16)</f>
        <v>551.45524199999988</v>
      </c>
      <c r="F17" s="18">
        <f t="shared" si="3"/>
        <v>549.85348999999997</v>
      </c>
      <c r="G17" s="18">
        <f t="shared" si="3"/>
        <v>538.08484199999998</v>
      </c>
      <c r="H17" s="18">
        <f t="shared" si="3"/>
        <v>530.61360000000002</v>
      </c>
      <c r="I17" s="18">
        <f t="shared" si="3"/>
        <v>537.76886999999999</v>
      </c>
      <c r="J17" s="18">
        <f t="shared" si="3"/>
        <v>526.10190000000011</v>
      </c>
      <c r="K17" s="18">
        <f t="shared" si="3"/>
        <v>531.41782000000012</v>
      </c>
      <c r="L17" s="18">
        <f t="shared" si="3"/>
        <v>526.12788999999998</v>
      </c>
      <c r="M17" s="18">
        <f t="shared" si="3"/>
        <v>533.21258</v>
      </c>
      <c r="N17" s="18">
        <f t="shared" si="3"/>
        <v>530.00669000000005</v>
      </c>
      <c r="O17" s="18">
        <f t="shared" si="3"/>
        <v>529.43519000000015</v>
      </c>
      <c r="P17" s="19">
        <f t="shared" si="3"/>
        <v>526.92412999999999</v>
      </c>
      <c r="Q17" s="41">
        <f t="shared" si="0"/>
        <v>534.2501870000001</v>
      </c>
      <c r="R17" s="46">
        <f t="shared" si="1"/>
        <v>6411.0022440000012</v>
      </c>
      <c r="T17" s="20">
        <f>AVERAGE(E8:P16)</f>
        <v>59.361131888888863</v>
      </c>
    </row>
    <row r="18" spans="1:20" outlineLevel="2">
      <c r="A18" s="105" t="s">
        <v>31</v>
      </c>
      <c r="B18" s="73">
        <v>62910164</v>
      </c>
      <c r="C18" s="9" t="s">
        <v>1</v>
      </c>
      <c r="D18" s="10">
        <f>'Control Consumo R - 2012'!P18</f>
        <v>83.762583333333325</v>
      </c>
      <c r="E18" s="10">
        <v>82.007380000000012</v>
      </c>
      <c r="F18" s="10">
        <v>81.805400000000006</v>
      </c>
      <c r="G18" s="10">
        <v>81.203400000000002</v>
      </c>
      <c r="H18" s="10">
        <v>81.253399999999999</v>
      </c>
      <c r="I18" s="10">
        <v>82.098770000000002</v>
      </c>
      <c r="J18" s="10">
        <v>82.039400000000001</v>
      </c>
      <c r="K18" s="10">
        <v>82.807740000000024</v>
      </c>
      <c r="L18" s="10">
        <v>84.03201</v>
      </c>
      <c r="M18" s="10">
        <v>81.497400000000013</v>
      </c>
      <c r="N18" s="10">
        <v>82.990800000000007</v>
      </c>
      <c r="O18" s="10">
        <v>81.801400000000001</v>
      </c>
      <c r="P18" s="10">
        <v>82.815399999999997</v>
      </c>
      <c r="Q18" s="45">
        <f t="shared" si="0"/>
        <v>82.196041666666659</v>
      </c>
      <c r="R18" s="36">
        <f t="shared" si="1"/>
        <v>986.35249999999996</v>
      </c>
    </row>
    <row r="19" spans="1:20" outlineLevel="2">
      <c r="A19" s="106"/>
      <c r="B19" s="72">
        <v>62910163</v>
      </c>
      <c r="C19" s="12" t="s">
        <v>2</v>
      </c>
      <c r="D19" s="13">
        <f>'Control Consumo R - 2012'!P19</f>
        <v>73.631096666666664</v>
      </c>
      <c r="E19" s="13">
        <v>73.402879999999982</v>
      </c>
      <c r="F19" s="13">
        <v>73.734869999999987</v>
      </c>
      <c r="G19" s="13">
        <v>74.639509999999987</v>
      </c>
      <c r="H19" s="13">
        <v>73.29155999999999</v>
      </c>
      <c r="I19" s="13">
        <v>73.152889999999985</v>
      </c>
      <c r="J19" s="13">
        <v>73.5929</v>
      </c>
      <c r="K19" s="13">
        <v>74.010179999999991</v>
      </c>
      <c r="L19" s="13">
        <v>73.338899999999981</v>
      </c>
      <c r="M19" s="13">
        <v>73.332899999999981</v>
      </c>
      <c r="N19" s="13">
        <v>73.775619999999975</v>
      </c>
      <c r="O19" s="13">
        <v>73.798959999999994</v>
      </c>
      <c r="P19" s="14">
        <v>73.202899999999985</v>
      </c>
      <c r="Q19" s="39">
        <f t="shared" si="0"/>
        <v>73.606172499999985</v>
      </c>
      <c r="R19" s="40">
        <f t="shared" si="1"/>
        <v>883.27406999999982</v>
      </c>
    </row>
    <row r="20" spans="1:20" outlineLevel="2">
      <c r="A20" s="106"/>
      <c r="B20" s="72">
        <v>62910165</v>
      </c>
      <c r="C20" s="12" t="s">
        <v>3</v>
      </c>
      <c r="D20" s="13">
        <f>'Control Consumo R - 2012'!P20</f>
        <v>70.082041666666669</v>
      </c>
      <c r="E20" s="13">
        <v>69.242000000000004</v>
      </c>
      <c r="F20" s="13">
        <v>70.889299999999992</v>
      </c>
      <c r="G20" s="13">
        <v>69.371300000000005</v>
      </c>
      <c r="H20" s="13">
        <v>69.402000000000001</v>
      </c>
      <c r="I20" s="13">
        <v>70.471999999999994</v>
      </c>
      <c r="J20" s="13">
        <v>69.677199999999999</v>
      </c>
      <c r="K20" s="13">
        <v>69.36999999999999</v>
      </c>
      <c r="L20" s="13">
        <v>69.322000000000003</v>
      </c>
      <c r="M20" s="13">
        <v>69.396000000000001</v>
      </c>
      <c r="N20" s="13">
        <v>70.6173</v>
      </c>
      <c r="O20" s="13">
        <v>69.240000000000009</v>
      </c>
      <c r="P20" s="14">
        <v>71.527529999999999</v>
      </c>
      <c r="Q20" s="39">
        <f t="shared" si="0"/>
        <v>69.877219166666663</v>
      </c>
      <c r="R20" s="40">
        <f t="shared" si="1"/>
        <v>838.52662999999995</v>
      </c>
    </row>
    <row r="21" spans="1:20" outlineLevel="2">
      <c r="A21" s="106"/>
      <c r="B21" s="72">
        <v>62910169</v>
      </c>
      <c r="C21" s="12" t="s">
        <v>4</v>
      </c>
      <c r="D21" s="13">
        <f>'Control Consumo R - 2012'!P21</f>
        <v>73.367289999999983</v>
      </c>
      <c r="E21" s="13">
        <v>72.469169999999991</v>
      </c>
      <c r="F21" s="13">
        <v>69.875289999999993</v>
      </c>
      <c r="G21" s="13">
        <v>73.656729999999996</v>
      </c>
      <c r="H21" s="13">
        <v>76.152029999999996</v>
      </c>
      <c r="I21" s="13">
        <v>73.881370000000004</v>
      </c>
      <c r="J21" s="13">
        <v>70.053600000000003</v>
      </c>
      <c r="K21" s="13">
        <v>73.025959999999998</v>
      </c>
      <c r="L21" s="13">
        <v>71.127559999999988</v>
      </c>
      <c r="M21" s="13">
        <v>70.969190000000012</v>
      </c>
      <c r="N21" s="13">
        <v>72.978300000000004</v>
      </c>
      <c r="O21" s="13">
        <v>71.495809999999977</v>
      </c>
      <c r="P21" s="14">
        <v>69.462699999999998</v>
      </c>
      <c r="Q21" s="39">
        <f t="shared" si="0"/>
        <v>72.095642499999997</v>
      </c>
      <c r="R21" s="40">
        <f t="shared" si="1"/>
        <v>865.14770999999996</v>
      </c>
    </row>
    <row r="22" spans="1:20" outlineLevel="2">
      <c r="A22" s="106"/>
      <c r="B22" s="72">
        <v>62910170</v>
      </c>
      <c r="C22" s="12" t="s">
        <v>5</v>
      </c>
      <c r="D22" s="13">
        <f>'Control Consumo R - 2012'!P22</f>
        <v>69.817307499999984</v>
      </c>
      <c r="E22" s="13">
        <v>69.41798</v>
      </c>
      <c r="F22" s="13">
        <v>69.41798</v>
      </c>
      <c r="G22" s="13">
        <v>69.425989999999999</v>
      </c>
      <c r="H22" s="13">
        <v>69.295990000000003</v>
      </c>
      <c r="I22" s="13">
        <v>69.895929999999993</v>
      </c>
      <c r="J22" s="13">
        <v>70.017899999999997</v>
      </c>
      <c r="K22" s="13">
        <v>69.895929999999993</v>
      </c>
      <c r="L22" s="13">
        <v>69.703950000000006</v>
      </c>
      <c r="M22" s="13">
        <v>70.66865</v>
      </c>
      <c r="N22" s="13">
        <v>74.644829999999999</v>
      </c>
      <c r="O22" s="13">
        <v>70.537869999999998</v>
      </c>
      <c r="P22" s="14">
        <v>70.751909999999981</v>
      </c>
      <c r="Q22" s="39">
        <f t="shared" si="0"/>
        <v>70.306242499999982</v>
      </c>
      <c r="R22" s="40">
        <f t="shared" si="1"/>
        <v>843.67490999999984</v>
      </c>
    </row>
    <row r="23" spans="1:20" outlineLevel="2">
      <c r="A23" s="106"/>
      <c r="B23" s="72">
        <v>62910178</v>
      </c>
      <c r="C23" s="12" t="s">
        <v>6</v>
      </c>
      <c r="D23" s="13">
        <f>'Control Consumo R - 2012'!P23</f>
        <v>82.740598333333352</v>
      </c>
      <c r="E23" s="12">
        <v>81.633380000000002</v>
      </c>
      <c r="F23" s="13">
        <v>81.203400000000002</v>
      </c>
      <c r="G23" s="13">
        <v>81.470700000000008</v>
      </c>
      <c r="H23" s="13">
        <v>82.29598</v>
      </c>
      <c r="I23" s="13">
        <v>81.934579999999997</v>
      </c>
      <c r="J23" s="13">
        <v>82.085400000000007</v>
      </c>
      <c r="K23" s="13">
        <v>81.883370000000014</v>
      </c>
      <c r="L23" s="13">
        <v>81.599400000000003</v>
      </c>
      <c r="M23" s="13">
        <v>83.58938000000002</v>
      </c>
      <c r="N23" s="13">
        <v>81.800069999999991</v>
      </c>
      <c r="O23" s="13">
        <v>81.61939000000001</v>
      </c>
      <c r="P23" s="14">
        <v>102.67304100000001</v>
      </c>
      <c r="Q23" s="39">
        <f t="shared" si="0"/>
        <v>83.649007583333329</v>
      </c>
      <c r="R23" s="40">
        <f t="shared" si="1"/>
        <v>1003.7880909999999</v>
      </c>
    </row>
    <row r="24" spans="1:20" outlineLevel="2">
      <c r="A24" s="106"/>
      <c r="B24" s="72">
        <v>62910179</v>
      </c>
      <c r="C24" s="12" t="s">
        <v>7</v>
      </c>
      <c r="D24" s="13">
        <f>'Control Consumo R - 2012'!P24</f>
        <v>70.942980833333337</v>
      </c>
      <c r="E24" s="13">
        <v>71.367899999999992</v>
      </c>
      <c r="F24" s="13">
        <v>71.39251999999999</v>
      </c>
      <c r="G24" s="13">
        <v>72.890199999999993</v>
      </c>
      <c r="H24" s="13">
        <v>72.699709999999996</v>
      </c>
      <c r="I24" s="13">
        <v>73.766169999999988</v>
      </c>
      <c r="J24" s="13">
        <v>74.955500000000001</v>
      </c>
      <c r="K24" s="13">
        <v>74.295609999999996</v>
      </c>
      <c r="L24" s="13">
        <v>71.243819999999999</v>
      </c>
      <c r="M24" s="13">
        <v>70.446600000000004</v>
      </c>
      <c r="N24" s="13">
        <v>69.788699999999992</v>
      </c>
      <c r="O24" s="13">
        <v>69.761300000000006</v>
      </c>
      <c r="P24" s="14">
        <v>74.217870000000005</v>
      </c>
      <c r="Q24" s="39">
        <f t="shared" si="0"/>
        <v>72.235491666666675</v>
      </c>
      <c r="R24" s="40">
        <f t="shared" si="1"/>
        <v>866.82590000000005</v>
      </c>
    </row>
    <row r="25" spans="1:20" outlineLevel="2">
      <c r="A25" s="106"/>
      <c r="B25" s="72">
        <v>62910232</v>
      </c>
      <c r="C25" s="12" t="s">
        <v>8</v>
      </c>
      <c r="D25" s="13">
        <f>'Control Consumo R - 2012'!P25</f>
        <v>91.95575833333335</v>
      </c>
      <c r="E25" s="13">
        <v>91.329099999999997</v>
      </c>
      <c r="F25" s="13">
        <v>91.461960000000005</v>
      </c>
      <c r="G25" s="13">
        <v>93.454300000000003</v>
      </c>
      <c r="H25" s="13">
        <v>94.596700000000013</v>
      </c>
      <c r="I25" s="13">
        <v>91.787300000000002</v>
      </c>
      <c r="J25" s="13">
        <v>91.678600000000003</v>
      </c>
      <c r="K25" s="13">
        <v>92.333000000000013</v>
      </c>
      <c r="L25" s="13">
        <v>92.251670000000004</v>
      </c>
      <c r="M25" s="13">
        <v>92.892200000000003</v>
      </c>
      <c r="N25" s="13">
        <v>92.439000000000007</v>
      </c>
      <c r="O25" s="13">
        <v>91.418400000000005</v>
      </c>
      <c r="P25" s="14">
        <v>92.185700000000011</v>
      </c>
      <c r="Q25" s="39">
        <f t="shared" si="0"/>
        <v>92.318994166666656</v>
      </c>
      <c r="R25" s="40">
        <f t="shared" si="1"/>
        <v>1107.8279299999999</v>
      </c>
    </row>
    <row r="26" spans="1:20" outlineLevel="2">
      <c r="A26" s="106"/>
      <c r="B26" s="72">
        <v>62910233</v>
      </c>
      <c r="C26" s="12" t="s">
        <v>9</v>
      </c>
      <c r="D26" s="13">
        <f>'Control Consumo R - 2012'!P26</f>
        <v>95.774941666666678</v>
      </c>
      <c r="E26" s="13">
        <v>90.796000000000006</v>
      </c>
      <c r="F26" s="13">
        <v>91.390100000000004</v>
      </c>
      <c r="G26" s="13">
        <v>91.543300000000002</v>
      </c>
      <c r="H26" s="13">
        <v>91.14500000000001</v>
      </c>
      <c r="I26" s="13">
        <v>91.774000000000001</v>
      </c>
      <c r="J26" s="13">
        <v>91.207300000000004</v>
      </c>
      <c r="K26" s="13">
        <v>93.970000000000013</v>
      </c>
      <c r="L26" s="13">
        <v>90.976700000000008</v>
      </c>
      <c r="M26" s="13">
        <v>90.976700000000008</v>
      </c>
      <c r="N26" s="13">
        <v>91.992800000000003</v>
      </c>
      <c r="O26" s="13">
        <v>91.79010000000001</v>
      </c>
      <c r="P26" s="14">
        <v>90.9953</v>
      </c>
      <c r="Q26" s="39">
        <f t="shared" si="0"/>
        <v>91.546441666666681</v>
      </c>
      <c r="R26" s="40">
        <f t="shared" si="1"/>
        <v>1098.5573000000002</v>
      </c>
    </row>
    <row r="27" spans="1:20" outlineLevel="2">
      <c r="A27" s="106"/>
      <c r="B27" s="72">
        <v>62910119</v>
      </c>
      <c r="C27" s="12" t="s">
        <v>10</v>
      </c>
      <c r="D27" s="13">
        <f>'Control Consumo R - 2012'!P27</f>
        <v>65.773750000000007</v>
      </c>
      <c r="E27" s="13">
        <v>62.559999999999988</v>
      </c>
      <c r="F27" s="13">
        <v>61.82</v>
      </c>
      <c r="G27" s="13">
        <v>62.539999999999985</v>
      </c>
      <c r="H27" s="13">
        <v>63.269999999999996</v>
      </c>
      <c r="I27" s="13">
        <v>61.621999999999993</v>
      </c>
      <c r="J27" s="13">
        <v>62.347999999999999</v>
      </c>
      <c r="K27" s="13">
        <v>64.35199999999999</v>
      </c>
      <c r="L27" s="13">
        <v>63.457999999999984</v>
      </c>
      <c r="M27" s="13">
        <v>61.264000000000003</v>
      </c>
      <c r="N27" s="13">
        <v>63.219999999999985</v>
      </c>
      <c r="O27" s="13">
        <v>62.061999999999991</v>
      </c>
      <c r="P27" s="14">
        <v>61.787999999999982</v>
      </c>
      <c r="Q27" s="39">
        <f t="shared" si="0"/>
        <v>62.525333333333329</v>
      </c>
      <c r="R27" s="40">
        <f t="shared" si="1"/>
        <v>750.30399999999997</v>
      </c>
    </row>
    <row r="28" spans="1:20" outlineLevel="2">
      <c r="A28" s="106"/>
      <c r="B28" s="72">
        <v>62910235</v>
      </c>
      <c r="C28" s="12" t="s">
        <v>37</v>
      </c>
      <c r="D28" s="61">
        <f>'Control Consumo R - 2012'!P28</f>
        <v>67.566727999999983</v>
      </c>
      <c r="E28" s="13">
        <v>71.361879999999985</v>
      </c>
      <c r="F28" s="13">
        <v>67.652929999999984</v>
      </c>
      <c r="G28" s="13">
        <v>67.952899999999985</v>
      </c>
      <c r="H28" s="13">
        <v>68.368859999999984</v>
      </c>
      <c r="I28" s="13">
        <v>71.052589999999995</v>
      </c>
      <c r="J28" s="13">
        <v>69.936700000000002</v>
      </c>
      <c r="K28" s="13">
        <v>68.823869999999985</v>
      </c>
      <c r="L28" s="13">
        <v>69.052789999999987</v>
      </c>
      <c r="M28" s="13">
        <v>69.617099999999994</v>
      </c>
      <c r="N28" s="13">
        <v>68.358859999999979</v>
      </c>
      <c r="O28" s="13">
        <v>68.953099999999992</v>
      </c>
      <c r="P28" s="14">
        <v>68.368479999999991</v>
      </c>
      <c r="Q28" s="39">
        <f t="shared" si="0"/>
        <v>69.125004999999987</v>
      </c>
      <c r="R28" s="40">
        <f t="shared" si="1"/>
        <v>829.50005999999985</v>
      </c>
    </row>
    <row r="29" spans="1:20" outlineLevel="2">
      <c r="A29" s="106"/>
      <c r="B29" s="72">
        <v>62910340</v>
      </c>
      <c r="C29" s="12" t="s">
        <v>44</v>
      </c>
      <c r="D29" s="61">
        <f>'Control Consumo R - 2012'!P29</f>
        <v>64.781895999999989</v>
      </c>
      <c r="E29" s="13">
        <v>47.565670000000004</v>
      </c>
      <c r="F29" s="13">
        <v>46.102899999999998</v>
      </c>
      <c r="G29" s="13">
        <v>50.512523999999992</v>
      </c>
      <c r="H29" s="13">
        <v>46.121289999999995</v>
      </c>
      <c r="I29" s="13">
        <v>66.089638999999991</v>
      </c>
      <c r="J29" s="13">
        <v>58.532899999999998</v>
      </c>
      <c r="K29" s="13">
        <v>58.676369999999991</v>
      </c>
      <c r="L29" s="13">
        <v>67.145481000000004</v>
      </c>
      <c r="M29" s="13">
        <v>60.155019999999993</v>
      </c>
      <c r="N29" s="13">
        <v>67.517952000000008</v>
      </c>
      <c r="O29" s="13">
        <v>58</v>
      </c>
      <c r="P29" s="14">
        <v>67.063523999999987</v>
      </c>
      <c r="Q29" s="39">
        <f t="shared" si="0"/>
        <v>57.790272499999993</v>
      </c>
      <c r="R29" s="40">
        <f t="shared" si="1"/>
        <v>693.48326999999995</v>
      </c>
    </row>
    <row r="30" spans="1:20" outlineLevel="2">
      <c r="A30" s="107"/>
      <c r="B30" s="75">
        <v>62910238</v>
      </c>
      <c r="C30" s="3" t="s">
        <v>48</v>
      </c>
      <c r="D30"/>
      <c r="E30" s="76"/>
      <c r="F30" s="76"/>
      <c r="G30" s="76"/>
      <c r="H30" s="76"/>
      <c r="I30" s="76"/>
      <c r="J30" s="76">
        <v>75.976792000000003</v>
      </c>
      <c r="K30" s="76">
        <v>86.716300000000004</v>
      </c>
      <c r="L30" s="76">
        <v>101.56753899999998</v>
      </c>
      <c r="M30" s="76">
        <v>101.35380000000001</v>
      </c>
      <c r="N30" s="76">
        <v>103.28139999999999</v>
      </c>
      <c r="O30" s="76">
        <v>101.44070000000001</v>
      </c>
      <c r="P30" s="77">
        <v>100.13380000000001</v>
      </c>
      <c r="Q30" s="39">
        <f t="shared" ref="Q30" si="4">AVERAGE(E30:P30)</f>
        <v>95.781475857142851</v>
      </c>
      <c r="R30" s="40">
        <f t="shared" ref="R30" si="5">SUM(E30:P30)</f>
        <v>670.47033099999999</v>
      </c>
    </row>
    <row r="31" spans="1:20" ht="15" outlineLevel="2" thickBot="1">
      <c r="A31" s="22" t="s">
        <v>32</v>
      </c>
      <c r="B31" s="68"/>
      <c r="C31" s="17"/>
      <c r="D31" s="18">
        <f>'Control Consumo R - 2012'!P30</f>
        <v>839.55244633333325</v>
      </c>
      <c r="E31" s="18">
        <f t="shared" ref="E31:P31" si="6">SUBTOTAL(9,E18:E29)</f>
        <v>883.15334000000007</v>
      </c>
      <c r="F31" s="18">
        <f t="shared" si="6"/>
        <v>876.74664999999982</v>
      </c>
      <c r="G31" s="18">
        <f t="shared" si="6"/>
        <v>888.66085399999997</v>
      </c>
      <c r="H31" s="18">
        <f t="shared" si="6"/>
        <v>887.8925200000001</v>
      </c>
      <c r="I31" s="18">
        <f t="shared" si="6"/>
        <v>907.52723899999989</v>
      </c>
      <c r="J31" s="18">
        <f t="shared" si="6"/>
        <v>896.1253999999999</v>
      </c>
      <c r="K31" s="18">
        <f t="shared" si="6"/>
        <v>903.44403</v>
      </c>
      <c r="L31" s="18">
        <f t="shared" si="6"/>
        <v>903.25228100000004</v>
      </c>
      <c r="M31" s="18">
        <f t="shared" si="6"/>
        <v>894.80514000000005</v>
      </c>
      <c r="N31" s="18">
        <f t="shared" si="6"/>
        <v>910.12423199999989</v>
      </c>
      <c r="O31" s="18">
        <f t="shared" si="6"/>
        <v>890.47833000000003</v>
      </c>
      <c r="P31" s="19">
        <f t="shared" si="6"/>
        <v>925.05235500000003</v>
      </c>
      <c r="Q31" s="41">
        <f t="shared" si="0"/>
        <v>897.27186424999991</v>
      </c>
      <c r="R31" s="46">
        <f t="shared" si="1"/>
        <v>10767.262370999999</v>
      </c>
      <c r="T31" s="20">
        <f>AVERAGE(E18:P29)</f>
        <v>74.772655354166673</v>
      </c>
    </row>
    <row r="32" spans="1:20" outlineLevel="1">
      <c r="A32" s="103" t="s">
        <v>18</v>
      </c>
      <c r="B32" s="64">
        <v>62910182</v>
      </c>
      <c r="C32" s="12" t="s">
        <v>19</v>
      </c>
      <c r="D32" s="13">
        <f>'Control Consumo R - 2012'!P31</f>
        <v>55.963883333333335</v>
      </c>
      <c r="E32" s="13">
        <v>52.458200000000005</v>
      </c>
      <c r="F32" s="13">
        <v>52.0002</v>
      </c>
      <c r="G32" s="13">
        <v>52.696200000000005</v>
      </c>
      <c r="H32" s="13">
        <v>52.386200000000002</v>
      </c>
      <c r="I32" s="13">
        <v>53.351500000000001</v>
      </c>
      <c r="J32" s="13">
        <v>52.0002</v>
      </c>
      <c r="K32" s="13">
        <v>53.422900000000013</v>
      </c>
      <c r="L32" s="13">
        <v>53.590700000000005</v>
      </c>
      <c r="M32" s="13">
        <v>52.092199999999991</v>
      </c>
      <c r="N32" s="13">
        <v>52.0002</v>
      </c>
      <c r="O32" s="13">
        <v>53.146200000000007</v>
      </c>
      <c r="P32" s="14">
        <v>52.347500000000004</v>
      </c>
      <c r="Q32" s="39">
        <f t="shared" si="0"/>
        <v>52.62435</v>
      </c>
      <c r="R32" s="40">
        <f t="shared" si="1"/>
        <v>631.49220000000003</v>
      </c>
    </row>
    <row r="33" spans="1:20" outlineLevel="2">
      <c r="A33" s="104"/>
      <c r="B33" s="67">
        <v>62910182</v>
      </c>
      <c r="C33" s="12" t="s">
        <v>20</v>
      </c>
      <c r="D33" s="13">
        <f>'Control Consumo R - 2012'!P32</f>
        <v>52.632941666666675</v>
      </c>
      <c r="E33" s="13">
        <v>52.842000000000006</v>
      </c>
      <c r="F33" s="13">
        <v>52.556000000000004</v>
      </c>
      <c r="G33" s="13">
        <v>52.556000000000004</v>
      </c>
      <c r="H33" s="13">
        <v>52.556000000000004</v>
      </c>
      <c r="I33" s="13">
        <v>52.556000000000004</v>
      </c>
      <c r="J33" s="13">
        <v>52.555999999999997</v>
      </c>
      <c r="K33" s="13">
        <v>52.556000000000004</v>
      </c>
      <c r="L33" s="13">
        <v>52.556000000000004</v>
      </c>
      <c r="M33" s="13">
        <v>52.556000000000004</v>
      </c>
      <c r="N33" s="13">
        <v>52.556000000000004</v>
      </c>
      <c r="O33" s="13">
        <v>52.556000000000004</v>
      </c>
      <c r="P33" s="14">
        <v>52.614000000000011</v>
      </c>
      <c r="Q33" s="39">
        <f t="shared" si="0"/>
        <v>52.584666666666671</v>
      </c>
      <c r="R33" s="40">
        <f t="shared" si="1"/>
        <v>631.01600000000008</v>
      </c>
    </row>
    <row r="34" spans="1:20" outlineLevel="2">
      <c r="A34" s="104"/>
      <c r="B34" s="67">
        <v>62910182</v>
      </c>
      <c r="C34" s="12" t="s">
        <v>38</v>
      </c>
      <c r="D34" s="13">
        <f>'Control Consumo R - 2012'!P33</f>
        <v>52.45718333333334</v>
      </c>
      <c r="E34" s="13">
        <v>51.996000000000002</v>
      </c>
      <c r="F34" s="13">
        <v>52.395300000000006</v>
      </c>
      <c r="G34" s="13">
        <v>51.996000000000002</v>
      </c>
      <c r="H34" s="13">
        <v>52.454000000000001</v>
      </c>
      <c r="I34" s="13">
        <v>52.492700000000006</v>
      </c>
      <c r="J34" s="13">
        <v>52.338000000000001</v>
      </c>
      <c r="K34" s="13">
        <v>52.625499999999995</v>
      </c>
      <c r="L34" s="13">
        <v>51.996000000000002</v>
      </c>
      <c r="M34" s="13">
        <v>52.021999999999998</v>
      </c>
      <c r="N34" s="13">
        <v>52.156000000000006</v>
      </c>
      <c r="O34" s="13">
        <v>51.996000000000002</v>
      </c>
      <c r="P34" s="14">
        <v>52.196000000000005</v>
      </c>
      <c r="Q34" s="39">
        <f t="shared" si="0"/>
        <v>52.221958333333333</v>
      </c>
      <c r="R34" s="40">
        <f>SUM(E34:P34)</f>
        <v>626.6635</v>
      </c>
    </row>
    <row r="35" spans="1:20" outlineLevel="2">
      <c r="A35" s="104"/>
      <c r="B35" s="67">
        <v>62910182</v>
      </c>
      <c r="C35" s="12" t="s">
        <v>39</v>
      </c>
      <c r="D35" s="13">
        <f>'Control Consumo R - 2012'!P34</f>
        <v>54.633358333333327</v>
      </c>
      <c r="E35" s="13">
        <v>51.996000000000002</v>
      </c>
      <c r="F35" s="13">
        <v>51.996000000000002</v>
      </c>
      <c r="G35" s="13">
        <v>51.996000000000002</v>
      </c>
      <c r="H35" s="13">
        <v>51.996000000000002</v>
      </c>
      <c r="I35" s="13">
        <v>52.212700000000005</v>
      </c>
      <c r="J35" s="13">
        <v>52.633299999999998</v>
      </c>
      <c r="K35" s="13">
        <v>51.996000000000002</v>
      </c>
      <c r="L35" s="13">
        <v>51.996000000000002</v>
      </c>
      <c r="M35" s="13">
        <v>51.996000000000002</v>
      </c>
      <c r="N35" s="13">
        <v>51.996000000000002</v>
      </c>
      <c r="O35" s="13">
        <v>51.996000000000002</v>
      </c>
      <c r="P35" s="14">
        <v>51.996000000000002</v>
      </c>
      <c r="Q35" s="39">
        <f t="shared" si="0"/>
        <v>52.067166666666658</v>
      </c>
      <c r="R35" s="40">
        <f>SUM(E35:P35)</f>
        <v>624.80599999999993</v>
      </c>
    </row>
    <row r="36" spans="1:20" ht="15" outlineLevel="2" thickBot="1">
      <c r="A36" s="22" t="s">
        <v>33</v>
      </c>
      <c r="B36" s="68"/>
      <c r="C36" s="17"/>
      <c r="D36" s="18">
        <f>'Control Consumo R - 2012'!P35</f>
        <v>215.68736666666666</v>
      </c>
      <c r="E36" s="18">
        <f t="shared" ref="E36:P36" si="7">SUBTOTAL(9,E32:E35)</f>
        <v>209.29220000000004</v>
      </c>
      <c r="F36" s="18">
        <f t="shared" si="7"/>
        <v>208.94750000000002</v>
      </c>
      <c r="G36" s="18">
        <f t="shared" si="7"/>
        <v>209.24420000000003</v>
      </c>
      <c r="H36" s="18">
        <f t="shared" si="7"/>
        <v>209.39220000000003</v>
      </c>
      <c r="I36" s="18">
        <f t="shared" si="7"/>
        <v>210.61290000000002</v>
      </c>
      <c r="J36" s="18">
        <f t="shared" si="7"/>
        <v>209.52749999999997</v>
      </c>
      <c r="K36" s="18">
        <f t="shared" si="7"/>
        <v>210.60040000000001</v>
      </c>
      <c r="L36" s="18">
        <f t="shared" si="7"/>
        <v>210.13870000000003</v>
      </c>
      <c r="M36" s="18">
        <f t="shared" si="7"/>
        <v>208.6662</v>
      </c>
      <c r="N36" s="18">
        <f t="shared" si="7"/>
        <v>208.70820000000001</v>
      </c>
      <c r="O36" s="18">
        <f t="shared" si="7"/>
        <v>209.69420000000002</v>
      </c>
      <c r="P36" s="19">
        <f t="shared" si="7"/>
        <v>209.15350000000004</v>
      </c>
      <c r="Q36" s="41">
        <f>AVERAGE(E36:P36)</f>
        <v>209.49814166666667</v>
      </c>
      <c r="R36" s="46">
        <f>SUM(E36:P36)</f>
        <v>2513.9776999999999</v>
      </c>
      <c r="T36" s="20">
        <f>AVERAGE(E32:P35)</f>
        <v>52.374535416666696</v>
      </c>
    </row>
    <row r="37" spans="1:20" ht="15" outlineLevel="1" thickBot="1">
      <c r="A37" s="24"/>
      <c r="B37" s="24"/>
      <c r="C37" s="25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47"/>
      <c r="R37" s="48"/>
    </row>
    <row r="38" spans="1:20" ht="15" outlineLevel="1" thickBot="1">
      <c r="A38" s="28" t="s">
        <v>27</v>
      </c>
      <c r="B38" s="69"/>
      <c r="C38" s="29"/>
      <c r="D38" s="30">
        <f>'Control Consumo R - 2012'!P37</f>
        <v>4111.6937346666664</v>
      </c>
      <c r="E38" s="30">
        <f t="shared" ref="E38:P38" si="8">SUBTOTAL(9,E2:E35)</f>
        <v>4313.2806819999996</v>
      </c>
      <c r="F38" s="30">
        <f t="shared" si="8"/>
        <v>4312.9478400000007</v>
      </c>
      <c r="G38" s="30">
        <f t="shared" si="8"/>
        <v>4370.5232959999994</v>
      </c>
      <c r="H38" s="30">
        <f t="shared" si="8"/>
        <v>4231.0692199999994</v>
      </c>
      <c r="I38" s="30">
        <f t="shared" si="8"/>
        <v>4269.0018090000003</v>
      </c>
      <c r="J38" s="30">
        <f t="shared" si="8"/>
        <v>4323.9141920000011</v>
      </c>
      <c r="K38" s="30">
        <f t="shared" si="8"/>
        <v>4347.2690499999999</v>
      </c>
      <c r="L38" s="30">
        <f t="shared" si="8"/>
        <v>4452.1033100000004</v>
      </c>
      <c r="M38" s="30">
        <f t="shared" si="8"/>
        <v>4351.4211200000009</v>
      </c>
      <c r="N38" s="30">
        <f t="shared" si="8"/>
        <v>4371.6776220000002</v>
      </c>
      <c r="O38" s="30">
        <f t="shared" si="8"/>
        <v>4350.2482199999995</v>
      </c>
      <c r="P38" s="31">
        <f t="shared" si="8"/>
        <v>4397.7142849999982</v>
      </c>
      <c r="Q38" s="43">
        <f>AVERAGE(E38:P38)</f>
        <v>4340.9308871666663</v>
      </c>
      <c r="R38" s="44">
        <f t="shared" si="1"/>
        <v>52091.170645999999</v>
      </c>
    </row>
    <row r="39" spans="1:20" ht="15" thickBot="1">
      <c r="A39" s="25"/>
      <c r="B39" s="25"/>
      <c r="C39" s="25"/>
      <c r="D39" s="25">
        <f>'Control Consumo R - 2012'!P38</f>
        <v>0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32"/>
      <c r="Q39" s="47"/>
      <c r="R39" s="48"/>
      <c r="T39" s="2"/>
    </row>
    <row r="40" spans="1:20" ht="15" thickBot="1">
      <c r="A40" s="33" t="s">
        <v>26</v>
      </c>
      <c r="B40" s="70"/>
      <c r="C40" s="29"/>
      <c r="D40" s="30">
        <f>'Control Consumo R - 2012'!P39</f>
        <v>4111.719325</v>
      </c>
      <c r="E40" s="30">
        <v>4313.2806</v>
      </c>
      <c r="F40" s="30">
        <v>4312.9477999999999</v>
      </c>
      <c r="G40" s="30">
        <v>4370.5231999999996</v>
      </c>
      <c r="H40" s="30">
        <v>4231.0691999999999</v>
      </c>
      <c r="I40" s="30">
        <v>4269.0018</v>
      </c>
      <c r="J40" s="30">
        <f>4247.9374+75.9768</f>
        <v>4323.9142000000002</v>
      </c>
      <c r="K40" s="30">
        <f>4260.5527+86.7163</f>
        <v>4347.2690000000002</v>
      </c>
      <c r="L40" s="30">
        <f>4450.3224+1.7809</f>
        <v>4452.1032999999998</v>
      </c>
      <c r="M40" s="30">
        <v>4351.4210999999996</v>
      </c>
      <c r="N40" s="30">
        <v>4371.6776</v>
      </c>
      <c r="O40" s="30">
        <v>4350.2482</v>
      </c>
      <c r="P40" s="31">
        <v>4397.7142000000003</v>
      </c>
      <c r="Q40" s="43">
        <f>AVERAGE(E40:P40)</f>
        <v>4340.9308500000006</v>
      </c>
      <c r="R40" s="44">
        <f t="shared" si="1"/>
        <v>52091.170200000008</v>
      </c>
    </row>
    <row r="41" spans="1:20" s="37" customFormat="1">
      <c r="A41" s="35"/>
      <c r="B41" s="35"/>
      <c r="C41" s="35"/>
      <c r="D41" s="35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T41"/>
    </row>
    <row r="42" spans="1:20">
      <c r="L42" s="38"/>
    </row>
    <row r="45" spans="1:20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mergeCells count="4">
    <mergeCell ref="A2:A6"/>
    <mergeCell ref="A8:A16"/>
    <mergeCell ref="A32:A35"/>
    <mergeCell ref="A18:A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4"/>
  <sheetViews>
    <sheetView workbookViewId="0">
      <selection activeCell="B5" sqref="A5:XFD5"/>
    </sheetView>
  </sheetViews>
  <sheetFormatPr baseColWidth="10" defaultColWidth="11.44140625" defaultRowHeight="14.4" outlineLevelRow="2"/>
  <cols>
    <col min="1" max="1" width="25.44140625" style="35" customWidth="1"/>
    <col min="2" max="2" width="10" style="35" bestFit="1" customWidth="1"/>
    <col min="3" max="3" width="15" style="35" bestFit="1" customWidth="1"/>
    <col min="4" max="4" width="14.109375" style="35" bestFit="1" customWidth="1"/>
    <col min="5" max="5" width="13.6640625" bestFit="1" customWidth="1"/>
    <col min="6" max="7" width="12.6640625" bestFit="1" customWidth="1"/>
    <col min="8" max="10" width="12" bestFit="1" customWidth="1"/>
    <col min="11" max="14" width="11.5546875" bestFit="1" customWidth="1"/>
    <col min="15" max="16" width="12.33203125" bestFit="1" customWidth="1"/>
    <col min="17" max="17" width="14.109375" bestFit="1" customWidth="1"/>
    <col min="18" max="18" width="12.5546875" bestFit="1" customWidth="1"/>
    <col min="19" max="19" width="11.44140625" style="35"/>
    <col min="20" max="20" width="23.88671875" bestFit="1" customWidth="1"/>
    <col min="21" max="16384" width="11.44140625" style="35"/>
  </cols>
  <sheetData>
    <row r="1" spans="1:20" ht="15" thickBot="1">
      <c r="A1" s="3"/>
      <c r="B1" s="78" t="s">
        <v>47</v>
      </c>
      <c r="C1" s="3"/>
      <c r="D1" s="5" t="str">
        <f>'Control Consumo R - 2013'!Q1</f>
        <v>Promedio 2013</v>
      </c>
      <c r="E1" s="5">
        <v>41640</v>
      </c>
      <c r="F1" s="5">
        <v>41671</v>
      </c>
      <c r="G1" s="5">
        <v>41699</v>
      </c>
      <c r="H1" s="5">
        <v>41730</v>
      </c>
      <c r="I1" s="5">
        <v>41760</v>
      </c>
      <c r="J1" s="5">
        <v>41791</v>
      </c>
      <c r="K1" s="5">
        <v>41821</v>
      </c>
      <c r="L1" s="5">
        <v>41852</v>
      </c>
      <c r="M1" s="5">
        <v>41883</v>
      </c>
      <c r="N1" s="5">
        <v>41913</v>
      </c>
      <c r="O1" s="5">
        <v>41944</v>
      </c>
      <c r="P1" s="5">
        <v>41974</v>
      </c>
      <c r="Q1" s="42" t="s">
        <v>49</v>
      </c>
      <c r="R1" s="34" t="s">
        <v>50</v>
      </c>
      <c r="T1" s="8" t="s">
        <v>40</v>
      </c>
    </row>
    <row r="2" spans="1:20" outlineLevel="2">
      <c r="A2" s="105" t="s">
        <v>0</v>
      </c>
      <c r="B2" s="73">
        <v>62910182</v>
      </c>
      <c r="C2" s="9" t="s">
        <v>22</v>
      </c>
      <c r="D2" s="10">
        <f>'Control Consumo R - 2013'!Q2</f>
        <v>2489.3046416666671</v>
      </c>
      <c r="E2" s="10">
        <v>2472.1530999999991</v>
      </c>
      <c r="F2" s="10">
        <v>2530.4978000000006</v>
      </c>
      <c r="G2" s="10">
        <v>2494.6801000000005</v>
      </c>
      <c r="H2" s="10">
        <v>2480.4950000000003</v>
      </c>
      <c r="I2" s="10">
        <v>1941.3305000000003</v>
      </c>
      <c r="J2" s="10">
        <v>1937.2345000000003</v>
      </c>
      <c r="K2" s="10">
        <v>1956.1373000000001</v>
      </c>
      <c r="L2" s="10">
        <v>2041.5546999999999</v>
      </c>
      <c r="M2" s="10">
        <v>1931.9919</v>
      </c>
      <c r="N2" s="10">
        <v>1940.3079</v>
      </c>
      <c r="O2" s="10">
        <v>1931.8199</v>
      </c>
      <c r="P2" s="10">
        <f>O2+37</f>
        <v>1968.8199</v>
      </c>
      <c r="Q2" s="45">
        <f t="shared" ref="Q2:Q38" si="0">AVERAGE(E2:P2)</f>
        <v>2135.5852166666668</v>
      </c>
      <c r="R2" s="36">
        <f>SUM(E2:P2)</f>
        <v>25627.0226</v>
      </c>
    </row>
    <row r="3" spans="1:20" s="86" customFormat="1" outlineLevel="2">
      <c r="A3" s="106"/>
      <c r="B3" s="80">
        <v>62910036</v>
      </c>
      <c r="C3" s="81" t="s">
        <v>21</v>
      </c>
      <c r="D3" s="82">
        <f>'Control Consumo R - 2013'!Q3</f>
        <v>64</v>
      </c>
      <c r="E3" s="82">
        <v>48</v>
      </c>
      <c r="F3" s="82"/>
      <c r="G3" s="82">
        <v>120</v>
      </c>
      <c r="H3" s="82"/>
      <c r="I3" s="82"/>
      <c r="J3" s="82"/>
      <c r="K3" s="82"/>
      <c r="L3" s="82"/>
      <c r="M3" s="82"/>
      <c r="N3" s="82"/>
      <c r="O3" s="82"/>
      <c r="P3" s="83">
        <f>24+458.55</f>
        <v>482.55</v>
      </c>
      <c r="Q3" s="84">
        <f t="shared" si="0"/>
        <v>216.85</v>
      </c>
      <c r="R3" s="85">
        <f t="shared" ref="R3:R43" si="1">SUM(E3:P3)</f>
        <v>650.54999999999995</v>
      </c>
      <c r="T3" s="87"/>
    </row>
    <row r="4" spans="1:20" outlineLevel="2">
      <c r="A4" s="106"/>
      <c r="B4" s="72">
        <v>62910182</v>
      </c>
      <c r="C4" s="12" t="s">
        <v>25</v>
      </c>
      <c r="D4" s="13">
        <f>'Control Consumo R - 2013'!Q4</f>
        <v>49.899999999999984</v>
      </c>
      <c r="E4" s="13">
        <v>49.900000000000006</v>
      </c>
      <c r="F4" s="13">
        <v>49.900000000000006</v>
      </c>
      <c r="G4" s="13">
        <v>49.900000000000006</v>
      </c>
      <c r="H4" s="13">
        <v>49.900000000000006</v>
      </c>
      <c r="I4" s="13">
        <v>1222.3499999999999</v>
      </c>
      <c r="J4" s="13">
        <v>1222.3499999999999</v>
      </c>
      <c r="K4" s="13">
        <v>1222.3499999999999</v>
      </c>
      <c r="L4" s="13">
        <v>1222.3499999999999</v>
      </c>
      <c r="M4" s="13">
        <v>1298.911333</v>
      </c>
      <c r="N4" s="13">
        <v>1330.037096</v>
      </c>
      <c r="O4" s="13">
        <v>1389.1610000000001</v>
      </c>
      <c r="P4" s="14">
        <f>O4</f>
        <v>1389.1610000000001</v>
      </c>
      <c r="Q4" s="39">
        <f t="shared" si="0"/>
        <v>874.68920241666672</v>
      </c>
      <c r="R4" s="40">
        <f t="shared" si="1"/>
        <v>10496.270429</v>
      </c>
    </row>
    <row r="5" spans="1:20" outlineLevel="2">
      <c r="A5" s="106"/>
      <c r="B5" s="7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39"/>
      <c r="R5" s="40"/>
      <c r="T5" s="79"/>
    </row>
    <row r="6" spans="1:20" outlineLevel="2">
      <c r="A6" s="106"/>
      <c r="B6" s="72">
        <v>62910182</v>
      </c>
      <c r="C6" s="12" t="s">
        <v>34</v>
      </c>
      <c r="D6" s="13">
        <f>'Control Consumo R - 2013'!Q5</f>
        <v>-6.99885</v>
      </c>
      <c r="E6" s="13">
        <v>-13.548400000000001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39">
        <f t="shared" si="0"/>
        <v>-13.548400000000001</v>
      </c>
      <c r="R6" s="40">
        <f t="shared" si="1"/>
        <v>-13.548400000000001</v>
      </c>
    </row>
    <row r="7" spans="1:20" outlineLevel="2">
      <c r="A7" s="107"/>
      <c r="B7" s="72">
        <v>62910182</v>
      </c>
      <c r="C7" s="12" t="s">
        <v>24</v>
      </c>
      <c r="D7" s="13">
        <f>'Control Consumo R - 2013'!Q6</f>
        <v>90</v>
      </c>
      <c r="E7" s="13">
        <v>90</v>
      </c>
      <c r="F7" s="13">
        <v>90</v>
      </c>
      <c r="G7" s="13">
        <v>90</v>
      </c>
      <c r="H7" s="13">
        <v>90</v>
      </c>
      <c r="I7" s="13">
        <v>90</v>
      </c>
      <c r="J7" s="13">
        <v>90</v>
      </c>
      <c r="K7" s="13">
        <v>90</v>
      </c>
      <c r="L7" s="13">
        <v>90</v>
      </c>
      <c r="M7" s="13">
        <v>90</v>
      </c>
      <c r="N7" s="13">
        <v>90</v>
      </c>
      <c r="O7" s="13">
        <v>90</v>
      </c>
      <c r="P7" s="14">
        <v>90</v>
      </c>
      <c r="Q7" s="39">
        <f t="shared" si="0"/>
        <v>90</v>
      </c>
      <c r="R7" s="40">
        <f t="shared" si="1"/>
        <v>1080</v>
      </c>
    </row>
    <row r="8" spans="1:20" ht="15" outlineLevel="1" thickBot="1">
      <c r="A8" s="16" t="s">
        <v>28</v>
      </c>
      <c r="B8" s="65">
        <v>62910182</v>
      </c>
      <c r="C8" s="17"/>
      <c r="D8" s="18">
        <f>'Control Consumo R - 2013'!Q7</f>
        <v>2644.0381666666663</v>
      </c>
      <c r="E8" s="18">
        <f>SUBTOTAL(9,E2:E7)</f>
        <v>2646.504699999999</v>
      </c>
      <c r="F8" s="18">
        <f>SUBTOTAL(9,F2:F7)</f>
        <v>2670.3978000000006</v>
      </c>
      <c r="G8" s="18">
        <f t="shared" ref="G8:P8" si="2">SUBTOTAL(9,G2:G7)</f>
        <v>2754.5801000000006</v>
      </c>
      <c r="H8" s="18">
        <f t="shared" si="2"/>
        <v>2620.3950000000004</v>
      </c>
      <c r="I8" s="18">
        <f t="shared" si="2"/>
        <v>3253.6805000000004</v>
      </c>
      <c r="J8" s="18">
        <f t="shared" si="2"/>
        <v>3249.5844999999999</v>
      </c>
      <c r="K8" s="18">
        <f t="shared" si="2"/>
        <v>3268.4872999999998</v>
      </c>
      <c r="L8" s="18">
        <f t="shared" si="2"/>
        <v>3353.9047</v>
      </c>
      <c r="M8" s="18">
        <f t="shared" si="2"/>
        <v>3320.903233</v>
      </c>
      <c r="N8" s="18">
        <f t="shared" si="2"/>
        <v>3360.3449959999998</v>
      </c>
      <c r="O8" s="18">
        <f t="shared" si="2"/>
        <v>3410.9809</v>
      </c>
      <c r="P8" s="19">
        <f t="shared" si="2"/>
        <v>3930.5309000000002</v>
      </c>
      <c r="Q8" s="41">
        <f>SUM(Q2:Q7)</f>
        <v>3303.5760190833334</v>
      </c>
      <c r="R8" s="46">
        <f t="shared" si="1"/>
        <v>37840.294629000004</v>
      </c>
    </row>
    <row r="9" spans="1:20" outlineLevel="2">
      <c r="A9" s="103" t="s">
        <v>29</v>
      </c>
      <c r="B9" s="66">
        <v>62910106</v>
      </c>
      <c r="C9" s="21" t="s">
        <v>11</v>
      </c>
      <c r="D9" s="10">
        <f>'Control Consumo R - 2013'!Q8</f>
        <v>53.68137500000001</v>
      </c>
      <c r="E9" s="10">
        <v>53.912700000000001</v>
      </c>
      <c r="F9" s="10">
        <v>52.843299999999999</v>
      </c>
      <c r="G9" s="10">
        <v>52.274000000000001</v>
      </c>
      <c r="H9" s="10">
        <v>52.497999999999998</v>
      </c>
      <c r="I9" s="10">
        <v>53.322600000000001</v>
      </c>
      <c r="J9" s="10">
        <v>52.539899999999996</v>
      </c>
      <c r="K9" s="10">
        <v>54.591999999999999</v>
      </c>
      <c r="L9" s="10">
        <v>52.768000000000001</v>
      </c>
      <c r="M9" s="10">
        <v>52.356500000000004</v>
      </c>
      <c r="N9" s="10">
        <v>51.996000000000002</v>
      </c>
      <c r="O9" s="10">
        <v>51.996000000000002</v>
      </c>
      <c r="P9" s="11">
        <v>51.996000000000002</v>
      </c>
      <c r="Q9" s="45">
        <f t="shared" si="0"/>
        <v>52.757916666666659</v>
      </c>
      <c r="R9" s="36">
        <f t="shared" si="1"/>
        <v>633.09499999999991</v>
      </c>
    </row>
    <row r="10" spans="1:20" outlineLevel="2">
      <c r="A10" s="104"/>
      <c r="B10" s="67">
        <v>62910104</v>
      </c>
      <c r="C10" s="12" t="s">
        <v>12</v>
      </c>
      <c r="D10" s="13">
        <f>'Control Consumo R - 2013'!Q9</f>
        <v>52.906465166666663</v>
      </c>
      <c r="E10" s="13">
        <v>54.103300000000004</v>
      </c>
      <c r="F10" s="13">
        <v>54.273879999999998</v>
      </c>
      <c r="G10" s="13">
        <v>52.857999999999997</v>
      </c>
      <c r="H10" s="13">
        <v>52.77599</v>
      </c>
      <c r="I10" s="13">
        <v>52.142000000000003</v>
      </c>
      <c r="J10" s="13">
        <v>52</v>
      </c>
      <c r="K10" s="13">
        <v>52.097999999999999</v>
      </c>
      <c r="L10" s="13">
        <v>53.503999999999998</v>
      </c>
      <c r="M10" s="13">
        <v>53.543300000000002</v>
      </c>
      <c r="N10" s="13">
        <v>54.631999999999998</v>
      </c>
      <c r="O10" s="13">
        <v>56.601979999999998</v>
      </c>
      <c r="P10" s="14">
        <v>70.187870000000004</v>
      </c>
      <c r="Q10" s="39">
        <f t="shared" si="0"/>
        <v>54.893360000000001</v>
      </c>
      <c r="R10" s="40">
        <f t="shared" si="1"/>
        <v>658.72032000000002</v>
      </c>
    </row>
    <row r="11" spans="1:20" outlineLevel="2">
      <c r="A11" s="104"/>
      <c r="B11" s="67">
        <v>62910102</v>
      </c>
      <c r="C11" s="12" t="s">
        <v>13</v>
      </c>
      <c r="D11" s="13">
        <f>'Control Consumo R - 2013'!Q10</f>
        <v>88.528408333333346</v>
      </c>
      <c r="E11" s="13">
        <v>86.803400000000011</v>
      </c>
      <c r="F11" s="13">
        <v>87.9041</v>
      </c>
      <c r="G11" s="13">
        <v>87.771140000000003</v>
      </c>
      <c r="H11" s="13">
        <v>88.003399999999999</v>
      </c>
      <c r="I11" s="13">
        <v>88.003399999999999</v>
      </c>
      <c r="J11" s="13">
        <v>88.154200000000003</v>
      </c>
      <c r="K11" s="13">
        <v>88.003399999999999</v>
      </c>
      <c r="L11" s="13">
        <v>88.003399999999999</v>
      </c>
      <c r="M11" s="13">
        <v>88.003399999999999</v>
      </c>
      <c r="N11" s="13">
        <v>88.003399999999999</v>
      </c>
      <c r="O11" s="13">
        <v>88.455699999999993</v>
      </c>
      <c r="P11" s="14">
        <v>90.033699999999996</v>
      </c>
      <c r="Q11" s="39">
        <f t="shared" si="0"/>
        <v>88.095220000000026</v>
      </c>
      <c r="R11" s="40">
        <f t="shared" si="1"/>
        <v>1057.1426400000003</v>
      </c>
    </row>
    <row r="12" spans="1:20" outlineLevel="2">
      <c r="A12" s="104"/>
      <c r="B12" s="67">
        <v>62910105</v>
      </c>
      <c r="C12" s="12" t="s">
        <v>14</v>
      </c>
      <c r="D12" s="13">
        <f>'Control Consumo R - 2013'!Q11</f>
        <v>52.029991666666668</v>
      </c>
      <c r="E12" s="13">
        <v>50.157399999999996</v>
      </c>
      <c r="F12" s="13">
        <v>50.037400000000005</v>
      </c>
      <c r="G12" s="13">
        <v>50.169399999999996</v>
      </c>
      <c r="H12" s="13">
        <v>51.650699999999993</v>
      </c>
      <c r="I12" s="13">
        <v>50.8294</v>
      </c>
      <c r="J12" s="13">
        <v>51.023400000000002</v>
      </c>
      <c r="K12" s="13">
        <v>48.901251000000002</v>
      </c>
      <c r="L12" s="13">
        <v>49.29</v>
      </c>
      <c r="M12" s="13">
        <v>50.088000000000001</v>
      </c>
      <c r="N12" s="13">
        <v>48.485999999999997</v>
      </c>
      <c r="O12" s="13">
        <v>49.256</v>
      </c>
      <c r="P12" s="14">
        <v>48.484000000000002</v>
      </c>
      <c r="Q12" s="39">
        <f t="shared" si="0"/>
        <v>49.86441258333334</v>
      </c>
      <c r="R12" s="40">
        <f t="shared" si="1"/>
        <v>598.37295100000006</v>
      </c>
    </row>
    <row r="13" spans="1:20" outlineLevel="2">
      <c r="A13" s="104"/>
      <c r="B13" s="67">
        <v>62910103</v>
      </c>
      <c r="C13" s="12" t="s">
        <v>15</v>
      </c>
      <c r="D13" s="13">
        <f>'Control Consumo R - 2013'!Q12</f>
        <v>50.17321583333333</v>
      </c>
      <c r="E13" s="12">
        <v>50.232300000000009</v>
      </c>
      <c r="F13" s="13">
        <v>49.996000000000002</v>
      </c>
      <c r="G13" s="13">
        <v>52.720600000000012</v>
      </c>
      <c r="H13" s="13">
        <v>49.996000000000002</v>
      </c>
      <c r="I13" s="13">
        <v>50.319300000000005</v>
      </c>
      <c r="J13" s="13">
        <v>50.488</v>
      </c>
      <c r="K13" s="13">
        <v>50.171999999999997</v>
      </c>
      <c r="L13" s="13">
        <v>50.031999999999996</v>
      </c>
      <c r="M13" s="13">
        <v>49.996000000000002</v>
      </c>
      <c r="N13" s="13">
        <v>50.435299999999998</v>
      </c>
      <c r="O13" s="13">
        <v>49.996000000000002</v>
      </c>
      <c r="P13" s="14">
        <v>50.826000000000001</v>
      </c>
      <c r="Q13" s="39">
        <f t="shared" si="0"/>
        <v>50.434125000000002</v>
      </c>
      <c r="R13" s="40">
        <f t="shared" si="1"/>
        <v>605.20950000000005</v>
      </c>
    </row>
    <row r="14" spans="1:20" outlineLevel="2">
      <c r="A14" s="104"/>
      <c r="B14" s="67">
        <v>62910110</v>
      </c>
      <c r="C14" s="12" t="s">
        <v>16</v>
      </c>
      <c r="D14" s="13">
        <f>'Control Consumo R - 2013'!Q13</f>
        <v>53.500833333333333</v>
      </c>
      <c r="E14" s="12">
        <v>52.996000000000002</v>
      </c>
      <c r="F14" s="13">
        <v>53.359299999999998</v>
      </c>
      <c r="G14" s="13">
        <v>52.996000000000002</v>
      </c>
      <c r="H14" s="13">
        <v>52.996000000000002</v>
      </c>
      <c r="I14" s="13">
        <v>53.021999999999998</v>
      </c>
      <c r="J14" s="13">
        <v>53.700700000000005</v>
      </c>
      <c r="K14" s="13">
        <v>53.067999999999998</v>
      </c>
      <c r="L14" s="13">
        <v>53.094000000000001</v>
      </c>
      <c r="M14" s="13">
        <v>53.222000000000008</v>
      </c>
      <c r="N14" s="13">
        <v>52.996000000000002</v>
      </c>
      <c r="O14" s="13">
        <v>52.496000000000002</v>
      </c>
      <c r="P14" s="14">
        <v>50.496000000000002</v>
      </c>
      <c r="Q14" s="39">
        <f t="shared" si="0"/>
        <v>52.870166666666655</v>
      </c>
      <c r="R14" s="40">
        <f t="shared" si="1"/>
        <v>634.44199999999989</v>
      </c>
    </row>
    <row r="15" spans="1:20" outlineLevel="2">
      <c r="A15" s="104"/>
      <c r="B15" s="67">
        <v>62910107</v>
      </c>
      <c r="C15" s="12" t="s">
        <v>23</v>
      </c>
      <c r="D15" s="13">
        <f>'Control Consumo R - 2013'!Q14</f>
        <v>89.785011666666662</v>
      </c>
      <c r="E15" s="13">
        <v>89.734259999999992</v>
      </c>
      <c r="F15" s="13">
        <v>89.552889999999991</v>
      </c>
      <c r="G15" s="13">
        <v>76.187888999999998</v>
      </c>
      <c r="H15" s="13">
        <v>67.75800000000001</v>
      </c>
      <c r="I15" s="13">
        <v>67.987990000000011</v>
      </c>
      <c r="J15" s="13">
        <v>67.5</v>
      </c>
      <c r="K15" s="13">
        <v>69.141999999999996</v>
      </c>
      <c r="L15" s="13">
        <v>67.599990000000005</v>
      </c>
      <c r="M15" s="13">
        <v>67.5</v>
      </c>
      <c r="N15" s="13">
        <v>67.835989999999995</v>
      </c>
      <c r="O15" s="13">
        <v>67.899990000000003</v>
      </c>
      <c r="P15" s="14">
        <v>67.599990000000005</v>
      </c>
      <c r="Q15" s="39">
        <f t="shared" si="0"/>
        <v>72.191582416666677</v>
      </c>
      <c r="R15" s="40">
        <f t="shared" si="1"/>
        <v>866.29898900000012</v>
      </c>
    </row>
    <row r="16" spans="1:20" outlineLevel="2">
      <c r="A16" s="104"/>
      <c r="B16" s="67">
        <v>62910114</v>
      </c>
      <c r="C16" s="12" t="s">
        <v>17</v>
      </c>
      <c r="D16" s="13">
        <f>'Control Consumo R - 2013'!Q15</f>
        <v>39.598149333333332</v>
      </c>
      <c r="E16" s="13">
        <v>36.493389999999998</v>
      </c>
      <c r="F16" s="13">
        <v>36.003399999999999</v>
      </c>
      <c r="G16" s="13">
        <v>47.583722999999999</v>
      </c>
      <c r="H16" s="13">
        <v>50.103390000000005</v>
      </c>
      <c r="I16" s="13">
        <v>50.003399999999999</v>
      </c>
      <c r="J16" s="13">
        <v>50.595379999999984</v>
      </c>
      <c r="K16" s="13">
        <v>51.317915999999997</v>
      </c>
      <c r="L16" s="13">
        <v>55.989620000000002</v>
      </c>
      <c r="M16" s="13">
        <v>51.638640000000002</v>
      </c>
      <c r="N16" s="13">
        <v>52.476790000000001</v>
      </c>
      <c r="O16" s="13">
        <v>54.250799999999998</v>
      </c>
      <c r="P16" s="14">
        <v>50.4208</v>
      </c>
      <c r="Q16" s="39">
        <f t="shared" si="0"/>
        <v>48.90643741666667</v>
      </c>
      <c r="R16" s="40">
        <f t="shared" si="1"/>
        <v>586.87724900000001</v>
      </c>
    </row>
    <row r="17" spans="1:20" outlineLevel="2">
      <c r="A17" s="104"/>
      <c r="B17" s="67">
        <v>62910236</v>
      </c>
      <c r="C17" s="12" t="s">
        <v>43</v>
      </c>
      <c r="D17" s="13">
        <f>'Control Consumo R - 2013'!Q16</f>
        <v>54.046736666666675</v>
      </c>
      <c r="E17" s="13">
        <v>53.790200000000013</v>
      </c>
      <c r="F17" s="13">
        <v>54.434189999999994</v>
      </c>
      <c r="G17" s="13">
        <v>52.0002</v>
      </c>
      <c r="H17" s="13">
        <v>54.481430000000003</v>
      </c>
      <c r="I17" s="13">
        <v>52.408170000000005</v>
      </c>
      <c r="J17" s="13">
        <v>52.312199999999997</v>
      </c>
      <c r="K17" s="13">
        <v>50.816051999999999</v>
      </c>
      <c r="L17" s="13">
        <v>51.316690000000001</v>
      </c>
      <c r="M17" s="13">
        <v>50.384799999999998</v>
      </c>
      <c r="N17" s="13">
        <v>50.560769999999998</v>
      </c>
      <c r="O17" s="13">
        <v>50.214790000000001</v>
      </c>
      <c r="P17" s="14">
        <v>51.332099999999997</v>
      </c>
      <c r="Q17" s="39">
        <f t="shared" si="0"/>
        <v>52.004299333333336</v>
      </c>
      <c r="R17" s="40">
        <f t="shared" si="1"/>
        <v>624.05159200000003</v>
      </c>
    </row>
    <row r="18" spans="1:20" ht="15" outlineLevel="1" thickBot="1">
      <c r="A18" s="22" t="s">
        <v>30</v>
      </c>
      <c r="B18" s="74"/>
      <c r="C18" s="17"/>
      <c r="D18" s="18">
        <f>'Control Consumo R - 2013'!Q17</f>
        <v>534.2501870000001</v>
      </c>
      <c r="E18" s="18">
        <f>SUBTOTAL(9,E9:E17)</f>
        <v>528.22294999999997</v>
      </c>
      <c r="F18" s="18">
        <f t="shared" ref="F18:P18" si="3">SUBTOTAL(9,F9:F17)</f>
        <v>528.40445999999997</v>
      </c>
      <c r="G18" s="18">
        <f t="shared" si="3"/>
        <v>524.56095199999993</v>
      </c>
      <c r="H18" s="18">
        <f t="shared" si="3"/>
        <v>520.26291000000003</v>
      </c>
      <c r="I18" s="18">
        <f t="shared" si="3"/>
        <v>518.03826000000004</v>
      </c>
      <c r="J18" s="18">
        <f t="shared" si="3"/>
        <v>518.31377999999995</v>
      </c>
      <c r="K18" s="18">
        <f t="shared" si="3"/>
        <v>518.11061900000004</v>
      </c>
      <c r="L18" s="18">
        <f t="shared" si="3"/>
        <v>521.59770000000003</v>
      </c>
      <c r="M18" s="18">
        <f t="shared" si="3"/>
        <v>516.73264000000006</v>
      </c>
      <c r="N18" s="18">
        <f t="shared" si="3"/>
        <v>517.42224999999996</v>
      </c>
      <c r="O18" s="18">
        <f t="shared" si="3"/>
        <v>521.16725999999994</v>
      </c>
      <c r="P18" s="19">
        <f t="shared" si="3"/>
        <v>531.37645999999995</v>
      </c>
      <c r="Q18" s="41">
        <f>SUM(Q9:Q17)</f>
        <v>522.01752008333347</v>
      </c>
      <c r="R18" s="46">
        <f t="shared" si="1"/>
        <v>6264.2102409999989</v>
      </c>
      <c r="T18" s="20">
        <f>AVERAGE(E9:P17)</f>
        <v>58.0019466759259</v>
      </c>
    </row>
    <row r="19" spans="1:20" outlineLevel="2">
      <c r="A19" s="105" t="s">
        <v>31</v>
      </c>
      <c r="B19" s="73">
        <v>62910164</v>
      </c>
      <c r="C19" s="9" t="s">
        <v>1</v>
      </c>
      <c r="D19" s="10">
        <f>'Control Consumo R - 2013'!Q18</f>
        <v>82.196041666666659</v>
      </c>
      <c r="E19" s="10">
        <v>82.323490000000007</v>
      </c>
      <c r="F19" s="10">
        <v>81.203400000000002</v>
      </c>
      <c r="G19" s="10">
        <v>81.681399999999996</v>
      </c>
      <c r="H19" s="10">
        <v>81.203400000000002</v>
      </c>
      <c r="I19" s="10">
        <v>82.379400000000004</v>
      </c>
      <c r="J19" s="10">
        <v>81.384100000000004</v>
      </c>
      <c r="K19" s="10">
        <v>82.840496999999999</v>
      </c>
      <c r="L19" s="10">
        <v>84.696700000000007</v>
      </c>
      <c r="M19" s="10">
        <v>83.598700000000008</v>
      </c>
      <c r="N19" s="10">
        <v>83.977400000000003</v>
      </c>
      <c r="O19" s="10">
        <v>83.233400000000003</v>
      </c>
      <c r="P19" s="10">
        <v>83.724100000000007</v>
      </c>
      <c r="Q19" s="45">
        <f t="shared" si="0"/>
        <v>82.687165583333339</v>
      </c>
      <c r="R19" s="36">
        <f t="shared" si="1"/>
        <v>992.24598700000001</v>
      </c>
    </row>
    <row r="20" spans="1:20" outlineLevel="2">
      <c r="A20" s="106"/>
      <c r="B20" s="72">
        <v>62910163</v>
      </c>
      <c r="C20" s="12" t="s">
        <v>2</v>
      </c>
      <c r="D20" s="13">
        <f>'Control Consumo R - 2013'!Q19</f>
        <v>73.606172499999985</v>
      </c>
      <c r="E20" s="13">
        <v>73.242900000000006</v>
      </c>
      <c r="F20" s="13">
        <v>73.568259999999981</v>
      </c>
      <c r="G20" s="13">
        <v>73.335539999999995</v>
      </c>
      <c r="H20" s="13">
        <v>73.37339999999999</v>
      </c>
      <c r="I20" s="13">
        <v>73.445529999999977</v>
      </c>
      <c r="J20" s="13">
        <v>73.26151999999999</v>
      </c>
      <c r="K20" s="13">
        <v>73.539590000000004</v>
      </c>
      <c r="L20" s="13">
        <v>73.507300000000001</v>
      </c>
      <c r="M20" s="13">
        <v>73.460889999999992</v>
      </c>
      <c r="N20" s="13">
        <v>73.490589999999997</v>
      </c>
      <c r="O20" s="13">
        <v>73.207170000000005</v>
      </c>
      <c r="P20" s="14">
        <v>52.694000000000003</v>
      </c>
      <c r="Q20" s="39">
        <f t="shared" si="0"/>
        <v>71.677224166666647</v>
      </c>
      <c r="R20" s="40">
        <f t="shared" si="1"/>
        <v>860.12668999999983</v>
      </c>
    </row>
    <row r="21" spans="1:20" outlineLevel="2">
      <c r="A21" s="106"/>
      <c r="B21" s="72">
        <v>62910165</v>
      </c>
      <c r="C21" s="12" t="s">
        <v>3</v>
      </c>
      <c r="D21" s="13">
        <f>'Control Consumo R - 2013'!Q20</f>
        <v>69.877219166666663</v>
      </c>
      <c r="E21" s="13">
        <v>69.569299999999998</v>
      </c>
      <c r="F21" s="13">
        <v>69.22399999999999</v>
      </c>
      <c r="G21" s="13">
        <v>69.195999999999998</v>
      </c>
      <c r="H21" s="13">
        <v>69.795940000000002</v>
      </c>
      <c r="I21" s="13">
        <v>71.819820000000007</v>
      </c>
      <c r="J21" s="13">
        <v>70.869149999999991</v>
      </c>
      <c r="K21" s="13">
        <v>70.553880000000007</v>
      </c>
      <c r="L21" s="13">
        <v>69.453990000000005</v>
      </c>
      <c r="M21" s="13">
        <v>70.848370000000017</v>
      </c>
      <c r="N21" s="13">
        <v>69.665980000000005</v>
      </c>
      <c r="O21" s="13">
        <v>71.703729999999993</v>
      </c>
      <c r="P21" s="14">
        <v>66.255899999999997</v>
      </c>
      <c r="Q21" s="39">
        <f t="shared" si="0"/>
        <v>69.913004999999998</v>
      </c>
      <c r="R21" s="40">
        <f t="shared" si="1"/>
        <v>838.95605999999998</v>
      </c>
    </row>
    <row r="22" spans="1:20" outlineLevel="2">
      <c r="A22" s="106"/>
      <c r="B22" s="72">
        <v>62910169</v>
      </c>
      <c r="C22" s="12" t="s">
        <v>4</v>
      </c>
      <c r="D22" s="13">
        <f>'Control Consumo R - 2013'!Q21</f>
        <v>72.095642499999997</v>
      </c>
      <c r="E22" s="13">
        <v>71.543509999999984</v>
      </c>
      <c r="F22" s="13">
        <v>71.58314</v>
      </c>
      <c r="G22" s="13">
        <v>71.257129999999989</v>
      </c>
      <c r="H22" s="13">
        <v>71.027159999999995</v>
      </c>
      <c r="I22" s="13">
        <v>71.617099999999994</v>
      </c>
      <c r="J22" s="13">
        <v>72.043120000000002</v>
      </c>
      <c r="K22" s="13">
        <v>70.927170000000004</v>
      </c>
      <c r="L22" s="13">
        <v>69.701269999999994</v>
      </c>
      <c r="M22" s="13">
        <v>69.825659999999999</v>
      </c>
      <c r="N22" s="13">
        <v>77.242549999999994</v>
      </c>
      <c r="O22" s="13">
        <v>70.497190000000003</v>
      </c>
      <c r="P22" s="14">
        <v>67.023979999999995</v>
      </c>
      <c r="Q22" s="39">
        <f t="shared" si="0"/>
        <v>71.190748333333318</v>
      </c>
      <c r="R22" s="40">
        <f t="shared" si="1"/>
        <v>854.28897999999981</v>
      </c>
    </row>
    <row r="23" spans="1:20" outlineLevel="2">
      <c r="A23" s="106"/>
      <c r="B23" s="72">
        <v>62910170</v>
      </c>
      <c r="C23" s="12" t="s">
        <v>5</v>
      </c>
      <c r="D23" s="13">
        <f>'Control Consumo R - 2013'!Q22</f>
        <v>70.306242499999982</v>
      </c>
      <c r="E23" s="13">
        <v>73.334859999999992</v>
      </c>
      <c r="F23" s="13">
        <v>70.267920000000004</v>
      </c>
      <c r="G23" s="13">
        <v>72.212379999999982</v>
      </c>
      <c r="H23" s="13">
        <v>71.085939999999994</v>
      </c>
      <c r="I23" s="13">
        <v>71.063849999999988</v>
      </c>
      <c r="J23" s="13">
        <v>71.30789</v>
      </c>
      <c r="K23" s="13">
        <v>69.439980000000006</v>
      </c>
      <c r="L23" s="13">
        <v>71.260159999999999</v>
      </c>
      <c r="M23" s="13">
        <v>70.166669999999996</v>
      </c>
      <c r="N23" s="13">
        <v>69.092206000000004</v>
      </c>
      <c r="O23" s="13">
        <v>78.56729</v>
      </c>
      <c r="P23" s="14">
        <v>65.656700000000001</v>
      </c>
      <c r="Q23" s="39">
        <f t="shared" si="0"/>
        <v>71.121320499999996</v>
      </c>
      <c r="R23" s="40">
        <f t="shared" si="1"/>
        <v>853.45584599999995</v>
      </c>
    </row>
    <row r="24" spans="1:20" outlineLevel="2">
      <c r="A24" s="106"/>
      <c r="B24" s="72">
        <v>62910178</v>
      </c>
      <c r="C24" s="12" t="s">
        <v>6</v>
      </c>
      <c r="D24" s="13">
        <f>'Control Consumo R - 2013'!Q23</f>
        <v>83.649007583333329</v>
      </c>
      <c r="E24" s="12">
        <v>80.979829999999993</v>
      </c>
      <c r="F24" s="13">
        <v>79.596680000000006</v>
      </c>
      <c r="G24" s="13">
        <v>79.341999999999999</v>
      </c>
      <c r="H24" s="13">
        <v>79.465980000000002</v>
      </c>
      <c r="I24" s="13">
        <v>79.99794</v>
      </c>
      <c r="J24" s="13">
        <v>79.785970000000006</v>
      </c>
      <c r="K24" s="13">
        <v>82.337850000000003</v>
      </c>
      <c r="L24" s="13">
        <v>79.648690000000002</v>
      </c>
      <c r="M24" s="13">
        <v>79.242000000000004</v>
      </c>
      <c r="N24" s="13">
        <v>83.4</v>
      </c>
      <c r="O24" s="13">
        <v>79.544700000000006</v>
      </c>
      <c r="P24" s="14">
        <v>76.596000000000004</v>
      </c>
      <c r="Q24" s="39">
        <f t="shared" si="0"/>
        <v>79.994803333333337</v>
      </c>
      <c r="R24" s="40">
        <f t="shared" si="1"/>
        <v>959.93763999999999</v>
      </c>
    </row>
    <row r="25" spans="1:20" outlineLevel="2">
      <c r="A25" s="106"/>
      <c r="B25" s="72">
        <v>62910179</v>
      </c>
      <c r="C25" s="12" t="s">
        <v>7</v>
      </c>
      <c r="D25" s="13">
        <f>'Control Consumo R - 2013'!Q24</f>
        <v>72.235491666666675</v>
      </c>
      <c r="E25" s="13">
        <v>72.510690000000011</v>
      </c>
      <c r="F25" s="13">
        <v>70.765849999999986</v>
      </c>
      <c r="G25" s="13">
        <v>72.764430000000004</v>
      </c>
      <c r="H25" s="13">
        <v>72.964680000000001</v>
      </c>
      <c r="I25" s="13">
        <v>73.056290000000004</v>
      </c>
      <c r="J25" s="13">
        <v>70.213929999999991</v>
      </c>
      <c r="K25" s="13">
        <v>76.803200000000004</v>
      </c>
      <c r="L25" s="13">
        <v>70.421999999999997</v>
      </c>
      <c r="M25" s="13">
        <v>70.133300000000006</v>
      </c>
      <c r="N25" s="13">
        <v>70.031999999999996</v>
      </c>
      <c r="O25" s="13">
        <v>69.742000000000004</v>
      </c>
      <c r="P25" s="14">
        <v>70.427300000000002</v>
      </c>
      <c r="Q25" s="39">
        <f t="shared" si="0"/>
        <v>71.65297249999999</v>
      </c>
      <c r="R25" s="40">
        <f t="shared" si="1"/>
        <v>859.83566999999994</v>
      </c>
    </row>
    <row r="26" spans="1:20" outlineLevel="2">
      <c r="A26" s="106"/>
      <c r="B26" s="72">
        <v>62910232</v>
      </c>
      <c r="C26" s="12" t="s">
        <v>8</v>
      </c>
      <c r="D26" s="13">
        <f>'Control Consumo R - 2013'!Q25</f>
        <v>92.318994166666656</v>
      </c>
      <c r="E26" s="13">
        <v>91.248699999999999</v>
      </c>
      <c r="F26" s="13">
        <v>91.604700000000008</v>
      </c>
      <c r="G26" s="13">
        <v>91.667100000000005</v>
      </c>
      <c r="H26" s="13">
        <v>91.64979000000001</v>
      </c>
      <c r="I26" s="13">
        <v>92.918700000000001</v>
      </c>
      <c r="J26" s="13">
        <v>66.934900999999996</v>
      </c>
      <c r="K26" s="13">
        <v>70.517899999999997</v>
      </c>
      <c r="L26" s="13">
        <v>69.643500000000003</v>
      </c>
      <c r="M26" s="13">
        <v>66.25630000000001</v>
      </c>
      <c r="N26" s="13">
        <v>66.103999999999999</v>
      </c>
      <c r="O26" s="13">
        <v>67.048100000000005</v>
      </c>
      <c r="P26" s="14">
        <v>65.9863</v>
      </c>
      <c r="Q26" s="39">
        <f t="shared" si="0"/>
        <v>77.631665916666677</v>
      </c>
      <c r="R26" s="40">
        <f t="shared" si="1"/>
        <v>931.57999100000018</v>
      </c>
    </row>
    <row r="27" spans="1:20" outlineLevel="2">
      <c r="A27" s="106"/>
      <c r="B27" s="72">
        <v>62910233</v>
      </c>
      <c r="C27" s="12" t="s">
        <v>9</v>
      </c>
      <c r="D27" s="13">
        <f>'Control Consumo R - 2013'!Q26</f>
        <v>91.546441666666681</v>
      </c>
      <c r="E27" s="13">
        <v>91.498000000000005</v>
      </c>
      <c r="F27" s="13">
        <v>91.597400000000007</v>
      </c>
      <c r="G27" s="13">
        <v>90.796000000000006</v>
      </c>
      <c r="H27" s="13">
        <v>90.796000000000006</v>
      </c>
      <c r="I27" s="13">
        <v>87.597194000000016</v>
      </c>
      <c r="J27" s="13">
        <v>63.19</v>
      </c>
      <c r="K27" s="13">
        <v>69.401700000000005</v>
      </c>
      <c r="L27" s="13">
        <v>70.116100000000003</v>
      </c>
      <c r="M27" s="13">
        <v>69.091000000000008</v>
      </c>
      <c r="N27" s="13">
        <v>69.253299999999996</v>
      </c>
      <c r="O27" s="13">
        <v>69.398499999999999</v>
      </c>
      <c r="P27" s="14">
        <v>67.6417</v>
      </c>
      <c r="Q27" s="39">
        <f t="shared" si="0"/>
        <v>77.531407833333333</v>
      </c>
      <c r="R27" s="40">
        <f t="shared" si="1"/>
        <v>930.37689399999999</v>
      </c>
    </row>
    <row r="28" spans="1:20" outlineLevel="2">
      <c r="A28" s="106"/>
      <c r="B28" s="72">
        <v>62910119</v>
      </c>
      <c r="C28" s="12" t="s">
        <v>10</v>
      </c>
      <c r="D28" s="13">
        <f>'Control Consumo R - 2013'!Q27</f>
        <v>62.525333333333329</v>
      </c>
      <c r="E28" s="13">
        <v>62.145999999999994</v>
      </c>
      <c r="F28" s="13">
        <v>63.971999999999994</v>
      </c>
      <c r="G28" s="13">
        <v>62.593999999999994</v>
      </c>
      <c r="H28" s="13">
        <v>62.641999999999996</v>
      </c>
      <c r="I28" s="13">
        <v>63.499999999999986</v>
      </c>
      <c r="J28" s="13">
        <v>69.710000000000008</v>
      </c>
      <c r="K28" s="13">
        <v>62.442</v>
      </c>
      <c r="L28" s="13">
        <v>65.516000000000005</v>
      </c>
      <c r="M28" s="13">
        <v>62.254000000000005</v>
      </c>
      <c r="N28" s="13">
        <v>65.784000000000006</v>
      </c>
      <c r="O28" s="13">
        <v>61.125999999999998</v>
      </c>
      <c r="P28" s="14">
        <v>60.97</v>
      </c>
      <c r="Q28" s="39">
        <f t="shared" si="0"/>
        <v>63.554666666666662</v>
      </c>
      <c r="R28" s="40">
        <f t="shared" si="1"/>
        <v>762.65599999999995</v>
      </c>
    </row>
    <row r="29" spans="1:20" outlineLevel="2">
      <c r="A29" s="106"/>
      <c r="B29" s="72">
        <v>62910235</v>
      </c>
      <c r="C29" s="12" t="s">
        <v>37</v>
      </c>
      <c r="D29" s="61">
        <f>'Control Consumo R - 2013'!Q28</f>
        <v>69.125004999999987</v>
      </c>
      <c r="E29" s="13">
        <v>68.853109999999987</v>
      </c>
      <c r="F29" s="13">
        <v>70.113699999999994</v>
      </c>
      <c r="G29" s="13">
        <v>68.65282999999998</v>
      </c>
      <c r="H29" s="13">
        <v>68.504359999999977</v>
      </c>
      <c r="I29" s="13">
        <v>68.75251999999999</v>
      </c>
      <c r="J29" s="13">
        <v>72.352459999999979</v>
      </c>
      <c r="K29" s="13">
        <v>68.457080000000005</v>
      </c>
      <c r="L29" s="13">
        <v>68.052890000000005</v>
      </c>
      <c r="M29" s="13">
        <v>68.724639999999994</v>
      </c>
      <c r="N29" s="13">
        <v>67.204490000000007</v>
      </c>
      <c r="O29" s="13">
        <v>67.20299</v>
      </c>
      <c r="P29" s="14">
        <v>64.052670000000006</v>
      </c>
      <c r="Q29" s="39">
        <f t="shared" si="0"/>
        <v>68.410311666666658</v>
      </c>
      <c r="R29" s="40">
        <f t="shared" si="1"/>
        <v>820.92373999999995</v>
      </c>
    </row>
    <row r="30" spans="1:20" outlineLevel="2">
      <c r="A30" s="106"/>
      <c r="B30" s="72">
        <v>62910340</v>
      </c>
      <c r="C30" s="12" t="s">
        <v>44</v>
      </c>
      <c r="D30" s="61">
        <f>'Control Consumo R - 2013'!Q28</f>
        <v>69.125004999999987</v>
      </c>
      <c r="E30" s="13">
        <v>58</v>
      </c>
      <c r="F30" s="13">
        <v>58</v>
      </c>
      <c r="G30" s="13">
        <v>58.171300000000002</v>
      </c>
      <c r="H30" s="13">
        <v>58</v>
      </c>
      <c r="I30" s="13">
        <v>65.935199999999995</v>
      </c>
      <c r="J30" s="13">
        <v>63.096159999999998</v>
      </c>
      <c r="K30" s="13">
        <v>64.724800000000002</v>
      </c>
      <c r="L30" s="13">
        <v>58</v>
      </c>
      <c r="M30" s="13">
        <v>58</v>
      </c>
      <c r="N30" s="13">
        <v>58</v>
      </c>
      <c r="O30" s="13">
        <v>58</v>
      </c>
      <c r="P30" s="14">
        <v>68.062180999999995</v>
      </c>
      <c r="Q30" s="39">
        <f t="shared" ref="Q30:Q31" si="4">AVERAGE(E30:P30)</f>
        <v>60.499136749999998</v>
      </c>
      <c r="R30" s="40">
        <f t="shared" ref="R30:R31" si="5">SUM(E30:P30)</f>
        <v>725.98964100000001</v>
      </c>
      <c r="T30" s="79"/>
    </row>
    <row r="31" spans="1:20" outlineLevel="2">
      <c r="A31" s="106"/>
      <c r="B31" s="75">
        <v>62910238</v>
      </c>
      <c r="C31" s="3" t="s">
        <v>48</v>
      </c>
      <c r="D31" s="79">
        <f>'Control Consumo R - 2013'!Q29</f>
        <v>57.790272499999993</v>
      </c>
      <c r="E31" s="76">
        <v>99.096500000000006</v>
      </c>
      <c r="F31" s="76">
        <v>99.796500000000009</v>
      </c>
      <c r="G31" s="76">
        <v>99.630500000000012</v>
      </c>
      <c r="H31" s="76">
        <v>99.096500000000006</v>
      </c>
      <c r="I31" s="76">
        <v>99.096500000000006</v>
      </c>
      <c r="J31" s="76">
        <v>76.988296000000005</v>
      </c>
      <c r="K31" s="76">
        <v>73.098299999999995</v>
      </c>
      <c r="L31" s="76">
        <v>73.098300000000009</v>
      </c>
      <c r="M31" s="76">
        <v>73.575700000000012</v>
      </c>
      <c r="N31" s="76">
        <v>73.512299999999996</v>
      </c>
      <c r="O31" s="76">
        <v>73.098299999999995</v>
      </c>
      <c r="P31" s="77">
        <f>O31</f>
        <v>73.098299999999995</v>
      </c>
      <c r="Q31" s="39">
        <f t="shared" si="4"/>
        <v>84.432166333333328</v>
      </c>
      <c r="R31" s="40">
        <f t="shared" si="5"/>
        <v>1013.1859959999999</v>
      </c>
    </row>
    <row r="32" spans="1:20" outlineLevel="2">
      <c r="A32" s="107"/>
      <c r="B32" s="75"/>
      <c r="C32" s="3" t="s">
        <v>51</v>
      </c>
      <c r="D32"/>
      <c r="E32" s="76"/>
      <c r="F32" s="76"/>
      <c r="G32" s="76">
        <v>12.368878</v>
      </c>
      <c r="H32" s="76">
        <v>60.924700000000001</v>
      </c>
      <c r="I32" s="76">
        <v>72.320700000000002</v>
      </c>
      <c r="J32" s="76">
        <v>71.989400000000003</v>
      </c>
      <c r="K32" s="76">
        <v>71.989400000000003</v>
      </c>
      <c r="L32" s="76">
        <v>71.989400000000003</v>
      </c>
      <c r="M32" s="76">
        <v>71.989400000000003</v>
      </c>
      <c r="N32" s="76">
        <v>71.989400000000003</v>
      </c>
      <c r="O32" s="76">
        <v>72.290700000000001</v>
      </c>
      <c r="P32" s="77">
        <v>72.430000000000007</v>
      </c>
      <c r="Q32" s="39">
        <f t="shared" si="0"/>
        <v>65.028197800000001</v>
      </c>
      <c r="R32" s="40">
        <f t="shared" si="1"/>
        <v>650.28197799999998</v>
      </c>
    </row>
    <row r="33" spans="1:20" outlineLevel="2">
      <c r="A33" s="89"/>
      <c r="B33" s="75"/>
      <c r="C33" s="3"/>
      <c r="D33" s="79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90"/>
      <c r="R33" s="91"/>
      <c r="T33" s="79"/>
    </row>
    <row r="34" spans="1:20" ht="15" outlineLevel="2" thickBot="1">
      <c r="A34" s="22" t="s">
        <v>32</v>
      </c>
      <c r="B34" s="68"/>
      <c r="C34" s="17"/>
      <c r="D34" s="18">
        <f t="shared" ref="D34:E34" si="6">SUBTOTAL(9,D19:D32)</f>
        <v>966.39686925000001</v>
      </c>
      <c r="E34" s="18">
        <f t="shared" si="6"/>
        <v>994.34689000000003</v>
      </c>
      <c r="F34" s="18">
        <f>SUBTOTAL(9,F19:F32)</f>
        <v>991.29354999999998</v>
      </c>
      <c r="G34" s="18">
        <f t="shared" ref="G34:P34" si="7">SUBTOTAL(9,G19:G32)</f>
        <v>1003.669488</v>
      </c>
      <c r="H34" s="18">
        <f t="shared" si="7"/>
        <v>1050.5298500000001</v>
      </c>
      <c r="I34" s="18">
        <f t="shared" si="7"/>
        <v>1073.5007440000002</v>
      </c>
      <c r="J34" s="18">
        <f t="shared" si="7"/>
        <v>1003.126897</v>
      </c>
      <c r="K34" s="18">
        <f t="shared" si="7"/>
        <v>1007.073347</v>
      </c>
      <c r="L34" s="18">
        <f t="shared" si="7"/>
        <v>995.10630000000003</v>
      </c>
      <c r="M34" s="18">
        <f t="shared" si="7"/>
        <v>987.16663000000017</v>
      </c>
      <c r="N34" s="18">
        <f t="shared" si="7"/>
        <v>998.74821599999996</v>
      </c>
      <c r="O34" s="18">
        <f t="shared" si="7"/>
        <v>994.66006999999991</v>
      </c>
      <c r="P34" s="18">
        <f t="shared" si="7"/>
        <v>954.61913100000015</v>
      </c>
      <c r="Q34" s="41">
        <f>SUM(Q19:Q32)</f>
        <v>1015.3247923833333</v>
      </c>
      <c r="R34" s="46">
        <f t="shared" si="1"/>
        <v>12053.841113</v>
      </c>
      <c r="T34" s="20">
        <f>AVERAGE(E19:P31)</f>
        <v>73.099738044871756</v>
      </c>
    </row>
    <row r="35" spans="1:20" outlineLevel="1">
      <c r="A35" s="103" t="s">
        <v>18</v>
      </c>
      <c r="B35" s="64">
        <v>62910182</v>
      </c>
      <c r="C35" s="12" t="s">
        <v>19</v>
      </c>
      <c r="D35" s="13">
        <f>'Control Consumo R - 2013'!Q32</f>
        <v>52.62435</v>
      </c>
      <c r="E35" s="13">
        <v>52.951000000000001</v>
      </c>
      <c r="F35" s="13">
        <v>55.966599999999985</v>
      </c>
      <c r="G35" s="13">
        <v>52.734200000000001</v>
      </c>
      <c r="H35" s="13">
        <v>53.38150000000001</v>
      </c>
      <c r="I35" s="13">
        <v>52.566199999999995</v>
      </c>
      <c r="J35" s="13">
        <v>52.576199999999993</v>
      </c>
      <c r="K35" s="13">
        <v>63.277895999999998</v>
      </c>
      <c r="L35" s="13">
        <v>68.021199999999993</v>
      </c>
      <c r="M35" s="13">
        <v>70.473100000000002</v>
      </c>
      <c r="N35" s="13">
        <v>67.837199999999996</v>
      </c>
      <c r="O35" s="13">
        <v>68.717200000000005</v>
      </c>
      <c r="P35" s="14">
        <v>68.511200000000002</v>
      </c>
      <c r="Q35" s="39">
        <f t="shared" si="0"/>
        <v>60.584458000000012</v>
      </c>
      <c r="R35" s="40">
        <f t="shared" si="1"/>
        <v>727.01349600000015</v>
      </c>
    </row>
    <row r="36" spans="1:20" outlineLevel="2">
      <c r="A36" s="104"/>
      <c r="B36" s="67">
        <v>62910182</v>
      </c>
      <c r="C36" s="12" t="s">
        <v>20</v>
      </c>
      <c r="D36" s="13">
        <f>'Control Consumo R - 2013'!Q33</f>
        <v>52.584666666666671</v>
      </c>
      <c r="E36" s="13">
        <v>52.556000000000004</v>
      </c>
      <c r="F36" s="13">
        <v>52.556000000000004</v>
      </c>
      <c r="G36" s="13">
        <v>52.556000000000004</v>
      </c>
      <c r="H36" s="13">
        <v>52.723300000000002</v>
      </c>
      <c r="I36" s="13">
        <v>52.66</v>
      </c>
      <c r="J36" s="13">
        <v>52.556000000000004</v>
      </c>
      <c r="K36" s="13">
        <v>52.555999999999997</v>
      </c>
      <c r="L36" s="13">
        <v>52.555999999999997</v>
      </c>
      <c r="M36" s="13">
        <v>52.556000000000004</v>
      </c>
      <c r="N36" s="13">
        <v>52.555999999999997</v>
      </c>
      <c r="O36" s="13">
        <v>53.423999999999999</v>
      </c>
      <c r="P36" s="14">
        <v>51.996000000000002</v>
      </c>
      <c r="Q36" s="39">
        <f t="shared" si="0"/>
        <v>52.604274999999994</v>
      </c>
      <c r="R36" s="40">
        <f t="shared" si="1"/>
        <v>631.2512999999999</v>
      </c>
    </row>
    <row r="37" spans="1:20" outlineLevel="2">
      <c r="A37" s="104"/>
      <c r="B37" s="67">
        <v>62910182</v>
      </c>
      <c r="C37" s="12" t="s">
        <v>38</v>
      </c>
      <c r="D37" s="13">
        <f>'Control Consumo R - 2013'!Q34</f>
        <v>52.221958333333333</v>
      </c>
      <c r="E37" s="13">
        <v>53.155999999999999</v>
      </c>
      <c r="F37" s="13">
        <v>51.996000000000002</v>
      </c>
      <c r="G37" s="13">
        <v>51.996000000000002</v>
      </c>
      <c r="H37" s="13">
        <v>52.151999999999994</v>
      </c>
      <c r="I37" s="13">
        <v>52.058</v>
      </c>
      <c r="J37" s="13">
        <v>52.472000000000001</v>
      </c>
      <c r="K37" s="13">
        <v>52.29</v>
      </c>
      <c r="L37" s="13">
        <v>51.996000000000002</v>
      </c>
      <c r="M37" s="13">
        <v>51.996000000000002</v>
      </c>
      <c r="N37" s="13">
        <v>51.996000000000002</v>
      </c>
      <c r="O37" s="13">
        <v>50.329332999999998</v>
      </c>
      <c r="P37" s="14">
        <v>50.024000000000001</v>
      </c>
      <c r="Q37" s="39">
        <f t="shared" si="0"/>
        <v>51.87177775</v>
      </c>
      <c r="R37" s="40">
        <f>SUM(E37:P37)</f>
        <v>622.46133299999997</v>
      </c>
    </row>
    <row r="38" spans="1:20" outlineLevel="2">
      <c r="A38" s="104"/>
      <c r="B38" s="67">
        <v>62910182</v>
      </c>
      <c r="C38" s="12" t="s">
        <v>39</v>
      </c>
      <c r="D38" s="13">
        <f>'Control Consumo R - 2013'!Q35</f>
        <v>52.067166666666658</v>
      </c>
      <c r="E38" s="13">
        <v>51.996000000000002</v>
      </c>
      <c r="F38" s="13">
        <v>52.104957000000006</v>
      </c>
      <c r="G38" s="13">
        <v>49.996000000000002</v>
      </c>
      <c r="H38" s="13">
        <v>49.996000000000002</v>
      </c>
      <c r="I38" s="13">
        <v>50.960600000000007</v>
      </c>
      <c r="J38" s="13">
        <v>51.410000000000011</v>
      </c>
      <c r="K38" s="13">
        <v>50.155299999999997</v>
      </c>
      <c r="L38" s="13">
        <v>49.996000000000002</v>
      </c>
      <c r="M38" s="13">
        <v>49.996000000000002</v>
      </c>
      <c r="N38" s="13">
        <v>49.996000000000002</v>
      </c>
      <c r="O38" s="13">
        <v>49.996000000000002</v>
      </c>
      <c r="P38" s="14">
        <v>49.996000000000002</v>
      </c>
      <c r="Q38" s="39">
        <f t="shared" si="0"/>
        <v>50.549904749999996</v>
      </c>
      <c r="R38" s="40">
        <f>SUM(E38:P38)</f>
        <v>606.59885699999995</v>
      </c>
    </row>
    <row r="39" spans="1:20" ht="15" outlineLevel="2" thickBot="1">
      <c r="A39" s="22" t="s">
        <v>33</v>
      </c>
      <c r="B39" s="68"/>
      <c r="C39" s="17"/>
      <c r="D39" s="18">
        <f>'Control Consumo R - 2013'!Q36</f>
        <v>209.49814166666667</v>
      </c>
      <c r="E39" s="18">
        <f>SUBTOTAL(9,E35:E38)</f>
        <v>210.65900000000002</v>
      </c>
      <c r="F39" s="18">
        <f t="shared" ref="F39:P39" si="8">SUBTOTAL(9,F35:F38)</f>
        <v>212.62355700000001</v>
      </c>
      <c r="G39" s="18">
        <f t="shared" si="8"/>
        <v>207.28220000000002</v>
      </c>
      <c r="H39" s="18">
        <f t="shared" si="8"/>
        <v>208.25280000000001</v>
      </c>
      <c r="I39" s="18">
        <f t="shared" si="8"/>
        <v>208.2448</v>
      </c>
      <c r="J39" s="18">
        <f t="shared" si="8"/>
        <v>209.01420000000002</v>
      </c>
      <c r="K39" s="18">
        <f t="shared" si="8"/>
        <v>218.27919600000001</v>
      </c>
      <c r="L39" s="18">
        <f t="shared" si="8"/>
        <v>222.5692</v>
      </c>
      <c r="M39" s="18">
        <f t="shared" si="8"/>
        <v>225.02110000000002</v>
      </c>
      <c r="N39" s="18">
        <f t="shared" si="8"/>
        <v>222.3852</v>
      </c>
      <c r="O39" s="18">
        <f t="shared" si="8"/>
        <v>222.466533</v>
      </c>
      <c r="P39" s="19">
        <f t="shared" si="8"/>
        <v>220.52720000000002</v>
      </c>
      <c r="Q39" s="41">
        <f>SUM(Q35:Q38)</f>
        <v>215.61041550000002</v>
      </c>
      <c r="R39" s="46">
        <f>SUM(E39:P39)</f>
        <v>2587.3249859999996</v>
      </c>
      <c r="T39" s="20">
        <f>AVERAGE(E35:P38)</f>
        <v>53.902603875000018</v>
      </c>
    </row>
    <row r="40" spans="1:20" ht="15" outlineLevel="1" thickBot="1">
      <c r="A40" s="24"/>
      <c r="B40" s="24"/>
      <c r="C40" s="25"/>
      <c r="D40" s="25">
        <f>'Control Consumo R - 2013'!Q37</f>
        <v>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47"/>
      <c r="R40" s="48"/>
    </row>
    <row r="41" spans="1:20" ht="15" outlineLevel="1" thickBot="1">
      <c r="A41" s="28" t="s">
        <v>27</v>
      </c>
      <c r="B41" s="69"/>
      <c r="C41" s="29"/>
      <c r="D41" s="30">
        <f>'Control Consumo R - 2013'!Q38</f>
        <v>4340.9308871666663</v>
      </c>
      <c r="E41" s="30">
        <f t="shared" ref="E41:P41" si="9">SUBTOTAL(9,E2:E38)</f>
        <v>4379.7335399999993</v>
      </c>
      <c r="F41" s="30">
        <f t="shared" si="9"/>
        <v>4402.7193670000006</v>
      </c>
      <c r="G41" s="30">
        <f t="shared" si="9"/>
        <v>4490.09274</v>
      </c>
      <c r="H41" s="30">
        <f t="shared" si="9"/>
        <v>4399.44056</v>
      </c>
      <c r="I41" s="30">
        <f t="shared" si="9"/>
        <v>5053.464304000001</v>
      </c>
      <c r="J41" s="30">
        <f t="shared" si="9"/>
        <v>4980.0393769999991</v>
      </c>
      <c r="K41" s="30">
        <f t="shared" si="9"/>
        <v>5011.9504619999998</v>
      </c>
      <c r="L41" s="30">
        <f t="shared" si="9"/>
        <v>5093.1778999999997</v>
      </c>
      <c r="M41" s="30">
        <f t="shared" si="9"/>
        <v>5049.8236030000016</v>
      </c>
      <c r="N41" s="30">
        <f t="shared" si="9"/>
        <v>5098.9006620000009</v>
      </c>
      <c r="O41" s="30">
        <f t="shared" si="9"/>
        <v>5149.2747629999994</v>
      </c>
      <c r="P41" s="31">
        <f t="shared" si="9"/>
        <v>5637.0536910000019</v>
      </c>
      <c r="Q41" s="43">
        <f>AVERAGE(E41:P41)</f>
        <v>4895.4725807500008</v>
      </c>
      <c r="R41" s="44">
        <f t="shared" si="1"/>
        <v>58745.670969000006</v>
      </c>
    </row>
    <row r="42" spans="1:20" ht="15" thickBot="1">
      <c r="A42" s="25"/>
      <c r="B42" s="25"/>
      <c r="C42" s="25"/>
      <c r="D42" s="25">
        <f>'Control Consumo R - 2013'!Q39</f>
        <v>0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32"/>
      <c r="Q42" s="47"/>
      <c r="R42" s="48"/>
      <c r="T42" s="2"/>
    </row>
    <row r="43" spans="1:20" ht="15" thickBot="1">
      <c r="A43" s="33" t="s">
        <v>26</v>
      </c>
      <c r="B43" s="70"/>
      <c r="C43" s="29"/>
      <c r="D43" s="30">
        <f>'Control Consumo R - 2013'!Q40</f>
        <v>4340.9308500000006</v>
      </c>
      <c r="E43" s="30">
        <v>4379.7335999999996</v>
      </c>
      <c r="F43" s="30">
        <v>4402.7192999999997</v>
      </c>
      <c r="G43" s="30">
        <v>4490.0927000000001</v>
      </c>
      <c r="H43" s="30">
        <v>4399.4404999999997</v>
      </c>
      <c r="I43" s="30">
        <v>5053.4642999999996</v>
      </c>
      <c r="J43" s="30">
        <v>4980.0393000000004</v>
      </c>
      <c r="K43" s="30">
        <v>5011.9503999999997</v>
      </c>
      <c r="L43" s="30">
        <v>5093.1778999999997</v>
      </c>
      <c r="M43" s="30">
        <v>5049.8235999999997</v>
      </c>
      <c r="N43" s="30">
        <v>5098.9005999999999</v>
      </c>
      <c r="O43" s="30">
        <v>5149.25</v>
      </c>
      <c r="P43" s="31">
        <v>5637.49</v>
      </c>
      <c r="Q43" s="43">
        <f>AVERAGE(E43:P43)</f>
        <v>4895.5068500000007</v>
      </c>
      <c r="R43" s="44">
        <f t="shared" si="1"/>
        <v>58746.082200000004</v>
      </c>
    </row>
    <row r="44" spans="1:20" s="37" customFormat="1">
      <c r="A44" s="35"/>
      <c r="B44" s="35"/>
      <c r="C44" s="35"/>
      <c r="D44" s="35"/>
      <c r="E44"/>
      <c r="F44"/>
      <c r="G44"/>
      <c r="H44"/>
      <c r="I44"/>
      <c r="J44"/>
      <c r="K44"/>
      <c r="L44"/>
      <c r="M44"/>
      <c r="N44"/>
      <c r="O44"/>
      <c r="P44" s="38"/>
      <c r="Q44"/>
      <c r="R44"/>
      <c r="T44"/>
    </row>
    <row r="45" spans="1:20">
      <c r="L45" s="38"/>
      <c r="P45" s="38"/>
    </row>
    <row r="48" spans="1:20">
      <c r="E48" s="7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5:5">
      <c r="E49" s="79"/>
    </row>
    <row r="50" spans="5:5">
      <c r="E50" s="79"/>
    </row>
    <row r="51" spans="5:5">
      <c r="E51" s="79"/>
    </row>
    <row r="52" spans="5:5">
      <c r="E52" s="79"/>
    </row>
    <row r="53" spans="5:5">
      <c r="E53" s="79"/>
    </row>
    <row r="54" spans="5:5">
      <c r="E54" s="79"/>
    </row>
    <row r="55" spans="5:5">
      <c r="E55" s="79"/>
    </row>
    <row r="56" spans="5:5">
      <c r="E56" s="79"/>
    </row>
    <row r="57" spans="5:5">
      <c r="E57" s="79"/>
    </row>
    <row r="58" spans="5:5">
      <c r="E58" s="79"/>
    </row>
    <row r="59" spans="5:5">
      <c r="E59" s="79"/>
    </row>
    <row r="60" spans="5:5">
      <c r="E60" s="79"/>
    </row>
    <row r="61" spans="5:5">
      <c r="E61" s="79"/>
    </row>
    <row r="62" spans="5:5">
      <c r="E62" s="79"/>
    </row>
    <row r="63" spans="5:5">
      <c r="E63" s="79"/>
    </row>
    <row r="64" spans="5:5">
      <c r="E64" s="79"/>
    </row>
    <row r="65" spans="5:5">
      <c r="E65" s="79"/>
    </row>
    <row r="66" spans="5:5">
      <c r="E66" s="79"/>
    </row>
    <row r="67" spans="5:5">
      <c r="E67" s="79"/>
    </row>
    <row r="68" spans="5:5">
      <c r="E68" s="79"/>
    </row>
    <row r="69" spans="5:5">
      <c r="E69" s="79"/>
    </row>
    <row r="70" spans="5:5">
      <c r="E70" s="79"/>
    </row>
    <row r="71" spans="5:5">
      <c r="E71" s="79"/>
    </row>
    <row r="72" spans="5:5">
      <c r="E72" s="79"/>
    </row>
    <row r="73" spans="5:5">
      <c r="E73" s="79"/>
    </row>
    <row r="74" spans="5:5">
      <c r="E74" s="79"/>
    </row>
  </sheetData>
  <sortState ref="C45:D71">
    <sortCondition ref="C45:C71"/>
  </sortState>
  <mergeCells count="4">
    <mergeCell ref="A2:A7"/>
    <mergeCell ref="A9:A17"/>
    <mergeCell ref="A19:A32"/>
    <mergeCell ref="A35:A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workbookViewId="0">
      <selection activeCell="B5" sqref="A5:XFD5"/>
    </sheetView>
  </sheetViews>
  <sheetFormatPr baseColWidth="10" defaultColWidth="11.44140625" defaultRowHeight="14.4" outlineLevelRow="2"/>
  <cols>
    <col min="1" max="1" width="25.44140625" style="35" customWidth="1"/>
    <col min="2" max="2" width="10" style="35" bestFit="1" customWidth="1"/>
    <col min="3" max="3" width="15" style="35" bestFit="1" customWidth="1"/>
    <col min="4" max="4" width="14.109375" style="35" bestFit="1" customWidth="1"/>
    <col min="5" max="5" width="13.6640625" style="79" bestFit="1" customWidth="1"/>
    <col min="6" max="7" width="12.6640625" style="79" bestFit="1" customWidth="1"/>
    <col min="8" max="10" width="12" style="79" bestFit="1" customWidth="1"/>
    <col min="11" max="14" width="11.5546875" style="79" bestFit="1" customWidth="1"/>
    <col min="15" max="15" width="12.33203125" style="79" bestFit="1" customWidth="1"/>
    <col min="16" max="16" width="11.5546875" style="79" bestFit="1" customWidth="1"/>
    <col min="17" max="17" width="14.109375" style="79" bestFit="1" customWidth="1"/>
    <col min="18" max="18" width="12.5546875" style="79" bestFit="1" customWidth="1"/>
    <col min="19" max="19" width="11.44140625" style="35"/>
    <col min="20" max="20" width="23.88671875" style="79" bestFit="1" customWidth="1"/>
    <col min="21" max="16384" width="11.44140625" style="35"/>
  </cols>
  <sheetData>
    <row r="1" spans="1:20" ht="15" thickBot="1">
      <c r="A1" s="3"/>
      <c r="B1" s="78" t="s">
        <v>47</v>
      </c>
      <c r="C1" s="3"/>
      <c r="D1" s="5" t="str">
        <f>'Control Consumo R - 2014'!Q1</f>
        <v>Promedio 2014</v>
      </c>
      <c r="E1" s="5">
        <v>42005</v>
      </c>
      <c r="F1" s="5">
        <v>42036</v>
      </c>
      <c r="G1" s="5">
        <v>42064</v>
      </c>
      <c r="H1" s="5">
        <v>42095</v>
      </c>
      <c r="I1" s="5">
        <v>42125</v>
      </c>
      <c r="J1" s="5">
        <v>42156</v>
      </c>
      <c r="K1" s="5">
        <v>42186</v>
      </c>
      <c r="L1" s="5">
        <v>42217</v>
      </c>
      <c r="M1" s="5">
        <v>42248</v>
      </c>
      <c r="N1" s="5">
        <v>42278</v>
      </c>
      <c r="O1" s="5">
        <v>42309</v>
      </c>
      <c r="P1" s="5">
        <v>42339</v>
      </c>
      <c r="Q1" s="42" t="s">
        <v>52</v>
      </c>
      <c r="R1" s="34" t="s">
        <v>53</v>
      </c>
      <c r="T1" s="8" t="s">
        <v>40</v>
      </c>
    </row>
    <row r="2" spans="1:20" outlineLevel="2">
      <c r="A2" s="105" t="s">
        <v>0</v>
      </c>
      <c r="B2" s="73">
        <v>62910182</v>
      </c>
      <c r="C2" s="9" t="s">
        <v>22</v>
      </c>
      <c r="D2" s="10">
        <f>'Control Consumo R - 2014'!Q2</f>
        <v>2135.5852166666668</v>
      </c>
      <c r="E2" s="10">
        <v>1953.0288999999982</v>
      </c>
      <c r="F2" s="10">
        <v>2002.5297999999993</v>
      </c>
      <c r="G2" s="10">
        <v>1936.0234999999984</v>
      </c>
      <c r="H2" s="10">
        <v>1934.9702999999988</v>
      </c>
      <c r="I2" s="10">
        <v>1664.9370000000004</v>
      </c>
      <c r="J2" s="10">
        <v>1712.877933</v>
      </c>
      <c r="K2" s="10">
        <v>1682.6593000000003</v>
      </c>
      <c r="L2" s="10">
        <v>1777.9101000000003</v>
      </c>
      <c r="M2" s="10">
        <v>1685.8879000000002</v>
      </c>
      <c r="N2" s="10">
        <v>1688.2728</v>
      </c>
      <c r="O2" s="10">
        <v>1698.51</v>
      </c>
      <c r="P2" s="11">
        <v>2160.9582</v>
      </c>
      <c r="Q2" s="45">
        <f t="shared" ref="Q2:Q40" si="0">AVERAGE(E2:P2)</f>
        <v>1824.8804777499997</v>
      </c>
      <c r="R2" s="36">
        <f>SUM(E2:P2)</f>
        <v>21898.565732999996</v>
      </c>
    </row>
    <row r="3" spans="1:20" outlineLevel="2">
      <c r="A3" s="106"/>
      <c r="B3" s="80">
        <v>62910036</v>
      </c>
      <c r="C3" s="12" t="s">
        <v>21</v>
      </c>
      <c r="D3" s="13">
        <f>'Control Consumo R - 2014'!Q3</f>
        <v>216.85</v>
      </c>
      <c r="E3" s="13">
        <v>48</v>
      </c>
      <c r="F3" s="13"/>
      <c r="G3" s="13">
        <v>120</v>
      </c>
      <c r="H3" s="13"/>
      <c r="I3" s="13"/>
      <c r="J3" s="13"/>
      <c r="K3" s="13"/>
      <c r="L3" s="13"/>
      <c r="M3" s="13"/>
      <c r="N3" s="13"/>
      <c r="O3" s="13"/>
      <c r="P3" s="14">
        <v>24</v>
      </c>
      <c r="Q3" s="39">
        <f t="shared" si="0"/>
        <v>64</v>
      </c>
      <c r="R3" s="40">
        <f t="shared" ref="R3:R45" si="1">SUM(E3:P3)</f>
        <v>192</v>
      </c>
    </row>
    <row r="4" spans="1:20" outlineLevel="2">
      <c r="A4" s="106"/>
      <c r="B4" s="72">
        <v>62910182</v>
      </c>
      <c r="C4" s="12" t="s">
        <v>25</v>
      </c>
      <c r="D4" s="13">
        <f>'Control Consumo R - 2014'!Q4</f>
        <v>874.68920241666672</v>
      </c>
      <c r="E4" s="13">
        <v>1396.25</v>
      </c>
      <c r="F4" s="13">
        <v>1396.2500000000002</v>
      </c>
      <c r="G4" s="13">
        <v>1411.6654840000001</v>
      </c>
      <c r="H4" s="13">
        <v>1408.2600000000002</v>
      </c>
      <c r="I4" s="13">
        <v>1405.5470969999999</v>
      </c>
      <c r="J4" s="13">
        <v>1435.1200000000001</v>
      </c>
      <c r="K4" s="13">
        <v>1435.1200000000001</v>
      </c>
      <c r="L4" s="13">
        <v>1435.1200000000001</v>
      </c>
      <c r="M4" s="13">
        <v>1435.1200000000001</v>
      </c>
      <c r="N4" s="13">
        <v>1437.5974180000001</v>
      </c>
      <c r="O4" s="13">
        <v>1435.1200000000001</v>
      </c>
      <c r="P4" s="14">
        <v>1463.5554850000001</v>
      </c>
      <c r="Q4" s="39">
        <f t="shared" si="0"/>
        <v>1424.5604570000003</v>
      </c>
      <c r="R4" s="40">
        <f t="shared" si="1"/>
        <v>17094.725484000002</v>
      </c>
    </row>
    <row r="5" spans="1:20" outlineLevel="2">
      <c r="A5" s="106"/>
      <c r="B5" s="7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39"/>
      <c r="R5" s="40"/>
    </row>
    <row r="6" spans="1:20" outlineLevel="2">
      <c r="A6" s="106"/>
      <c r="B6" s="72">
        <v>62910182</v>
      </c>
      <c r="C6" s="12" t="s">
        <v>34</v>
      </c>
      <c r="D6" s="13">
        <f>'Control Consumo R - 2014'!Q6</f>
        <v>-13.548400000000001</v>
      </c>
      <c r="E6" s="13">
        <v>9.9999999999999995E-7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39">
        <f>AVERAGE(E6:P6)</f>
        <v>9.9999999999999995E-7</v>
      </c>
      <c r="R6" s="40">
        <f t="shared" si="1"/>
        <v>9.9999999999999995E-7</v>
      </c>
    </row>
    <row r="7" spans="1:20" outlineLevel="2">
      <c r="A7" s="107"/>
      <c r="B7" s="72">
        <v>62910182</v>
      </c>
      <c r="C7" s="12" t="s">
        <v>24</v>
      </c>
      <c r="D7" s="13">
        <f>'Control Consumo R - 2014'!Q7</f>
        <v>90</v>
      </c>
      <c r="E7" s="13">
        <v>90</v>
      </c>
      <c r="F7" s="13">
        <v>90</v>
      </c>
      <c r="G7" s="13">
        <v>90</v>
      </c>
      <c r="H7" s="13">
        <v>90</v>
      </c>
      <c r="I7" s="13">
        <v>75</v>
      </c>
      <c r="J7" s="13">
        <v>75</v>
      </c>
      <c r="K7" s="13">
        <v>75</v>
      </c>
      <c r="L7" s="13">
        <v>75</v>
      </c>
      <c r="M7" s="13">
        <v>75</v>
      </c>
      <c r="N7" s="13">
        <v>75</v>
      </c>
      <c r="O7" s="13">
        <v>75</v>
      </c>
      <c r="P7" s="14">
        <v>75</v>
      </c>
      <c r="Q7" s="39">
        <f t="shared" si="0"/>
        <v>80</v>
      </c>
      <c r="R7" s="40">
        <f t="shared" si="1"/>
        <v>960</v>
      </c>
    </row>
    <row r="8" spans="1:20" ht="15" outlineLevel="1" thickBot="1">
      <c r="A8" s="16" t="s">
        <v>28</v>
      </c>
      <c r="B8" s="65">
        <v>62910182</v>
      </c>
      <c r="C8" s="17"/>
      <c r="D8" s="18">
        <f>'Control Consumo R - 2014'!Q8</f>
        <v>3303.5760190833334</v>
      </c>
      <c r="E8" s="18">
        <f>SUBTOTAL(9,E2:E7)</f>
        <v>3487.2789009999983</v>
      </c>
      <c r="F8" s="18">
        <f t="shared" ref="F8:P8" si="2">SUBTOTAL(9,F2:F7)</f>
        <v>3488.7797999999993</v>
      </c>
      <c r="G8" s="18">
        <f t="shared" si="2"/>
        <v>3557.6889839999985</v>
      </c>
      <c r="H8" s="18">
        <f t="shared" si="2"/>
        <v>3433.2302999999993</v>
      </c>
      <c r="I8" s="18">
        <f t="shared" si="2"/>
        <v>3145.4840970000005</v>
      </c>
      <c r="J8" s="18">
        <f t="shared" si="2"/>
        <v>3222.9979330000001</v>
      </c>
      <c r="K8" s="18">
        <f t="shared" si="2"/>
        <v>3192.7793000000001</v>
      </c>
      <c r="L8" s="18">
        <f t="shared" si="2"/>
        <v>3288.0301000000004</v>
      </c>
      <c r="M8" s="18">
        <f t="shared" si="2"/>
        <v>3196.0079000000005</v>
      </c>
      <c r="N8" s="18">
        <f t="shared" si="2"/>
        <v>3200.870218</v>
      </c>
      <c r="O8" s="18">
        <f t="shared" si="2"/>
        <v>3208.63</v>
      </c>
      <c r="P8" s="19">
        <f t="shared" si="2"/>
        <v>3723.5136849999999</v>
      </c>
      <c r="Q8" s="41">
        <f>SUM(Q2:Q7)</f>
        <v>3393.4409357499999</v>
      </c>
      <c r="R8" s="46">
        <f t="shared" si="1"/>
        <v>40145.291217999991</v>
      </c>
    </row>
    <row r="9" spans="1:20" outlineLevel="2">
      <c r="A9" s="103" t="s">
        <v>29</v>
      </c>
      <c r="B9" s="66">
        <v>62910106</v>
      </c>
      <c r="C9" s="21" t="s">
        <v>11</v>
      </c>
      <c r="D9" s="10">
        <f>'Control Consumo R - 2014'!Q9</f>
        <v>52.757916666666659</v>
      </c>
      <c r="E9" s="10">
        <v>53.267399999999988</v>
      </c>
      <c r="F9" s="10">
        <v>52.38669999999999</v>
      </c>
      <c r="G9" s="10">
        <v>51.996000000000002</v>
      </c>
      <c r="H9" s="10">
        <v>52.379300000000008</v>
      </c>
      <c r="I9" s="10">
        <v>43.077999999999996</v>
      </c>
      <c r="J9" s="10">
        <v>43.18</v>
      </c>
      <c r="K9" s="10">
        <v>43.058</v>
      </c>
      <c r="L9" s="10">
        <v>43.001999999999995</v>
      </c>
      <c r="M9" s="10">
        <v>43.631300000000003</v>
      </c>
      <c r="N9" s="10">
        <v>43</v>
      </c>
      <c r="O9" s="10">
        <v>43</v>
      </c>
      <c r="P9" s="11">
        <v>43</v>
      </c>
      <c r="Q9" s="45">
        <f t="shared" si="0"/>
        <v>46.248224999999998</v>
      </c>
      <c r="R9" s="36">
        <f t="shared" si="1"/>
        <v>554.9787</v>
      </c>
    </row>
    <row r="10" spans="1:20" outlineLevel="2">
      <c r="A10" s="104"/>
      <c r="B10" s="67">
        <v>62910104</v>
      </c>
      <c r="C10" s="12" t="s">
        <v>12</v>
      </c>
      <c r="D10" s="13">
        <f>'Control Consumo R - 2014'!Q10</f>
        <v>54.893360000000001</v>
      </c>
      <c r="E10" s="13">
        <v>55.933700000000002</v>
      </c>
      <c r="F10" s="13">
        <v>53.146000000000001</v>
      </c>
      <c r="G10" s="13">
        <v>53.902000000000008</v>
      </c>
      <c r="H10" s="13">
        <v>52.48</v>
      </c>
      <c r="I10" s="13">
        <v>48.094000000000001</v>
      </c>
      <c r="J10" s="13">
        <v>47.433999999999997</v>
      </c>
      <c r="K10" s="13">
        <v>52.609999999999992</v>
      </c>
      <c r="L10" s="13">
        <v>48.305999999999997</v>
      </c>
      <c r="M10" s="13">
        <v>47.731999999999999</v>
      </c>
      <c r="N10" s="13">
        <v>47.706000000000003</v>
      </c>
      <c r="O10" s="13">
        <v>48.506</v>
      </c>
      <c r="P10" s="14">
        <v>47.585999999999999</v>
      </c>
      <c r="Q10" s="39">
        <f t="shared" si="0"/>
        <v>50.286308333333331</v>
      </c>
      <c r="R10" s="40">
        <f t="shared" si="1"/>
        <v>603.4357</v>
      </c>
    </row>
    <row r="11" spans="1:20" outlineLevel="2">
      <c r="A11" s="104"/>
      <c r="B11" s="67">
        <v>62910102</v>
      </c>
      <c r="C11" s="12" t="s">
        <v>13</v>
      </c>
      <c r="D11" s="13">
        <f>'Control Consumo R - 2014'!Q11</f>
        <v>88.095220000000026</v>
      </c>
      <c r="E11" s="13">
        <v>93.142800000000008</v>
      </c>
      <c r="F11" s="13">
        <v>104.87869999999999</v>
      </c>
      <c r="G11" s="13">
        <v>90.485499999999988</v>
      </c>
      <c r="H11" s="13">
        <v>88.438000000000002</v>
      </c>
      <c r="I11" s="13">
        <v>72.157300000000006</v>
      </c>
      <c r="J11" s="13">
        <v>70</v>
      </c>
      <c r="K11" s="88">
        <v>70</v>
      </c>
      <c r="L11" s="13">
        <v>71.953199999999995</v>
      </c>
      <c r="M11" s="13">
        <v>75.66</v>
      </c>
      <c r="N11" s="13">
        <v>72.02</v>
      </c>
      <c r="O11" s="13">
        <v>69.750500000000002</v>
      </c>
      <c r="P11" s="14">
        <v>68</v>
      </c>
      <c r="Q11" s="39">
        <f t="shared" si="0"/>
        <v>78.873833333333337</v>
      </c>
      <c r="R11" s="40">
        <f t="shared" si="1"/>
        <v>946.48599999999999</v>
      </c>
    </row>
    <row r="12" spans="1:20" outlineLevel="2">
      <c r="A12" s="104"/>
      <c r="B12" s="67">
        <v>62910105</v>
      </c>
      <c r="C12" s="12" t="s">
        <v>14</v>
      </c>
      <c r="D12" s="13">
        <f>'Control Consumo R - 2014'!Q12</f>
        <v>49.86441258333334</v>
      </c>
      <c r="E12" s="13">
        <v>49.915399999999998</v>
      </c>
      <c r="F12" s="13">
        <v>48.677999999999997</v>
      </c>
      <c r="G12" s="13">
        <v>48.186</v>
      </c>
      <c r="H12" s="13">
        <v>48.866</v>
      </c>
      <c r="I12" s="13">
        <v>45.177999999999997</v>
      </c>
      <c r="J12" s="13">
        <v>45.712000000000003</v>
      </c>
      <c r="K12" s="13">
        <v>45.766000000000005</v>
      </c>
      <c r="L12" s="13">
        <v>45.554000000000002</v>
      </c>
      <c r="M12" s="13">
        <v>46.402000000000001</v>
      </c>
      <c r="N12" s="13">
        <v>46.914000000000001</v>
      </c>
      <c r="O12" s="13">
        <v>48.618600000000001</v>
      </c>
      <c r="P12" s="14">
        <v>46.054000000000002</v>
      </c>
      <c r="Q12" s="39">
        <f t="shared" si="0"/>
        <v>47.153666666666659</v>
      </c>
      <c r="R12" s="40">
        <f t="shared" si="1"/>
        <v>565.84399999999994</v>
      </c>
    </row>
    <row r="13" spans="1:20" outlineLevel="2">
      <c r="A13" s="104"/>
      <c r="B13" s="67">
        <v>62910103</v>
      </c>
      <c r="C13" s="12" t="s">
        <v>15</v>
      </c>
      <c r="D13" s="13">
        <f>'Control Consumo R - 2014'!Q13</f>
        <v>50.434125000000002</v>
      </c>
      <c r="E13" s="13">
        <v>54.106500000000004</v>
      </c>
      <c r="F13" s="13">
        <v>51.898000000000003</v>
      </c>
      <c r="G13" s="13">
        <v>50.67</v>
      </c>
      <c r="H13" s="13">
        <v>51.186000000000014</v>
      </c>
      <c r="I13" s="13">
        <v>48.294000000000004</v>
      </c>
      <c r="J13" s="13">
        <v>52.789300000000004</v>
      </c>
      <c r="K13" s="13">
        <v>54.955299999999994</v>
      </c>
      <c r="L13" s="13">
        <v>54.051299999999998</v>
      </c>
      <c r="M13" s="13">
        <v>50.817999999999991</v>
      </c>
      <c r="N13" s="13">
        <v>47.765999999999998</v>
      </c>
      <c r="O13" s="13">
        <v>44.059299999999993</v>
      </c>
      <c r="P13" s="14">
        <v>46.033999999999999</v>
      </c>
      <c r="Q13" s="39">
        <f t="shared" si="0"/>
        <v>50.552308333333336</v>
      </c>
      <c r="R13" s="40">
        <f t="shared" si="1"/>
        <v>606.6277</v>
      </c>
    </row>
    <row r="14" spans="1:20" outlineLevel="2">
      <c r="A14" s="104"/>
      <c r="B14" s="67">
        <v>62910110</v>
      </c>
      <c r="C14" s="12" t="s">
        <v>16</v>
      </c>
      <c r="D14" s="13">
        <f>'Control Consumo R - 2014'!Q14</f>
        <v>52.870166666666655</v>
      </c>
      <c r="E14" s="13">
        <v>52.935300000000012</v>
      </c>
      <c r="F14" s="13">
        <v>50.410000000000004</v>
      </c>
      <c r="G14" s="13">
        <v>49.996000000000002</v>
      </c>
      <c r="H14" s="13">
        <v>49.996000000000002</v>
      </c>
      <c r="I14" s="13">
        <v>43</v>
      </c>
      <c r="J14" s="13">
        <v>43</v>
      </c>
      <c r="K14" s="13">
        <v>43</v>
      </c>
      <c r="L14" s="13">
        <v>43</v>
      </c>
      <c r="M14" s="13">
        <v>43</v>
      </c>
      <c r="N14" s="13">
        <v>43</v>
      </c>
      <c r="O14" s="13">
        <v>43.223299999999995</v>
      </c>
      <c r="P14" s="14">
        <v>43.32</v>
      </c>
      <c r="Q14" s="39">
        <f t="shared" si="0"/>
        <v>45.656716666666675</v>
      </c>
      <c r="R14" s="40">
        <f t="shared" si="1"/>
        <v>547.88060000000007</v>
      </c>
    </row>
    <row r="15" spans="1:20" outlineLevel="2">
      <c r="A15" s="104"/>
      <c r="B15" s="67">
        <v>62910107</v>
      </c>
      <c r="C15" s="12" t="s">
        <v>23</v>
      </c>
      <c r="D15" s="13">
        <f>'Control Consumo R - 2014'!Q15</f>
        <v>72.191582416666677</v>
      </c>
      <c r="E15" s="13">
        <v>70.876300000000015</v>
      </c>
      <c r="F15" s="13">
        <v>67.5</v>
      </c>
      <c r="G15" s="13">
        <v>67.658000000000001</v>
      </c>
      <c r="H15" s="13">
        <v>67.713999999999999</v>
      </c>
      <c r="I15" s="13">
        <v>41.496700000000004</v>
      </c>
      <c r="J15" s="13">
        <v>41.054000000000002</v>
      </c>
      <c r="K15" s="13">
        <v>41.686</v>
      </c>
      <c r="L15" s="13">
        <v>41.37</v>
      </c>
      <c r="M15" s="13">
        <v>41.064</v>
      </c>
      <c r="N15" s="13">
        <v>42.692700000000002</v>
      </c>
      <c r="O15" s="13">
        <v>41</v>
      </c>
      <c r="P15" s="14">
        <v>41.886000000000003</v>
      </c>
      <c r="Q15" s="39">
        <f t="shared" si="0"/>
        <v>50.499808333333327</v>
      </c>
      <c r="R15" s="40">
        <f t="shared" si="1"/>
        <v>605.9976999999999</v>
      </c>
    </row>
    <row r="16" spans="1:20" outlineLevel="2">
      <c r="A16" s="104"/>
      <c r="B16" s="67">
        <v>62910114</v>
      </c>
      <c r="C16" s="12" t="s">
        <v>17</v>
      </c>
      <c r="D16" s="13">
        <f>'Control Consumo R - 2014'!Q15</f>
        <v>72.191582416666677</v>
      </c>
      <c r="E16" s="13">
        <v>79.168819999999968</v>
      </c>
      <c r="F16" s="13">
        <v>61.152999999999999</v>
      </c>
      <c r="G16" s="13">
        <v>63.35676999999999</v>
      </c>
      <c r="H16" s="13">
        <v>50.420089999999995</v>
      </c>
      <c r="I16" s="13">
        <v>47.156999999999996</v>
      </c>
      <c r="J16" s="13">
        <v>47.17</v>
      </c>
      <c r="K16" s="13">
        <v>47</v>
      </c>
      <c r="L16" s="13">
        <v>47</v>
      </c>
      <c r="M16" s="13">
        <v>47</v>
      </c>
      <c r="N16" s="13">
        <v>47</v>
      </c>
      <c r="O16" s="13">
        <v>47</v>
      </c>
      <c r="P16" s="14">
        <v>47</v>
      </c>
      <c r="Q16" s="39">
        <f t="shared" ref="Q16:Q18" si="3">AVERAGE(E16:P16)</f>
        <v>52.535473333333329</v>
      </c>
      <c r="R16" s="40">
        <f t="shared" ref="R16:R18" si="4">SUM(E16:P16)</f>
        <v>630.42567999999994</v>
      </c>
    </row>
    <row r="17" spans="1:20" outlineLevel="2">
      <c r="A17" s="104"/>
      <c r="B17" s="67">
        <v>62910236</v>
      </c>
      <c r="C17" s="12" t="s">
        <v>43</v>
      </c>
      <c r="D17" s="13">
        <f>'Control Consumo R - 2014'!Q16</f>
        <v>48.90643741666667</v>
      </c>
      <c r="E17" s="13">
        <v>51.527300000000004</v>
      </c>
      <c r="F17" s="13">
        <v>50.440800000000003</v>
      </c>
      <c r="G17" s="13">
        <v>50.294800000000002</v>
      </c>
      <c r="H17" s="13">
        <v>50.688800000000001</v>
      </c>
      <c r="I17" s="13">
        <v>48.755999999999993</v>
      </c>
      <c r="J17" s="13">
        <v>47.41</v>
      </c>
      <c r="K17" s="13">
        <v>48.192</v>
      </c>
      <c r="L17" s="13">
        <v>47.13</v>
      </c>
      <c r="M17" s="13">
        <v>47.857999999999997</v>
      </c>
      <c r="N17" s="13">
        <v>49.839999999999996</v>
      </c>
      <c r="O17" s="13">
        <v>47.591999999999999</v>
      </c>
      <c r="P17" s="14">
        <v>48.24</v>
      </c>
      <c r="Q17" s="39">
        <f t="shared" si="3"/>
        <v>48.997475000000001</v>
      </c>
      <c r="R17" s="40">
        <f t="shared" si="4"/>
        <v>587.96969999999999</v>
      </c>
    </row>
    <row r="18" spans="1:20" outlineLevel="2">
      <c r="A18" s="104"/>
      <c r="B18" s="67"/>
      <c r="C18" s="12" t="s">
        <v>54</v>
      </c>
      <c r="D18" s="13"/>
      <c r="E18" s="13"/>
      <c r="F18" s="13"/>
      <c r="G18" s="13"/>
      <c r="H18" s="13"/>
      <c r="I18" s="13">
        <v>8.4292060000000006</v>
      </c>
      <c r="J18" s="13">
        <v>80.598332999999911</v>
      </c>
      <c r="K18" s="13">
        <v>273.97761199999997</v>
      </c>
      <c r="L18" s="13">
        <v>-61.250000000000028</v>
      </c>
      <c r="M18" s="13">
        <v>111.87199999999999</v>
      </c>
      <c r="N18" s="13">
        <v>33.372</v>
      </c>
      <c r="O18" s="13">
        <v>76.805999999999997</v>
      </c>
      <c r="P18" s="14">
        <v>87.519000000000005</v>
      </c>
      <c r="Q18" s="39">
        <f t="shared" si="3"/>
        <v>76.415518874999975</v>
      </c>
      <c r="R18" s="40">
        <f t="shared" si="4"/>
        <v>611.3241509999998</v>
      </c>
    </row>
    <row r="19" spans="1:20" ht="15" outlineLevel="1" thickBot="1">
      <c r="A19" s="22" t="s">
        <v>30</v>
      </c>
      <c r="B19" s="74"/>
      <c r="C19" s="17"/>
      <c r="D19" s="18">
        <f>'Control Consumo R - 2014'!Q18</f>
        <v>522.01752008333347</v>
      </c>
      <c r="E19" s="18">
        <f t="shared" ref="E19:P19" si="5">SUBTOTAL(9,E9:E18)</f>
        <v>560.87351999999998</v>
      </c>
      <c r="F19" s="18">
        <f t="shared" si="5"/>
        <v>540.49120000000005</v>
      </c>
      <c r="G19" s="18">
        <f t="shared" si="5"/>
        <v>526.54507000000001</v>
      </c>
      <c r="H19" s="18">
        <f t="shared" si="5"/>
        <v>512.16818999999998</v>
      </c>
      <c r="I19" s="18">
        <f t="shared" si="5"/>
        <v>445.64020599999998</v>
      </c>
      <c r="J19" s="18">
        <f t="shared" si="5"/>
        <v>518.34763299999997</v>
      </c>
      <c r="K19" s="18">
        <f t="shared" si="5"/>
        <v>720.244912</v>
      </c>
      <c r="L19" s="18">
        <f t="shared" si="5"/>
        <v>380.11649999999997</v>
      </c>
      <c r="M19" s="18">
        <f t="shared" si="5"/>
        <v>555.03729999999996</v>
      </c>
      <c r="N19" s="18">
        <f t="shared" si="5"/>
        <v>473.3107</v>
      </c>
      <c r="O19" s="18">
        <f t="shared" si="5"/>
        <v>509.5557</v>
      </c>
      <c r="P19" s="19">
        <f t="shared" si="5"/>
        <v>518.63900000000012</v>
      </c>
      <c r="Q19" s="41">
        <f>SUM(Q9:Q18)</f>
        <v>547.21933387499996</v>
      </c>
      <c r="R19" s="46">
        <f t="shared" si="1"/>
        <v>6260.9699309999996</v>
      </c>
      <c r="T19" s="20">
        <f>AVERAGE(E9:P18)</f>
        <v>53.973878715517245</v>
      </c>
    </row>
    <row r="20" spans="1:20" outlineLevel="2">
      <c r="A20" s="105" t="s">
        <v>31</v>
      </c>
      <c r="B20" s="73">
        <v>62910164</v>
      </c>
      <c r="C20" s="9" t="s">
        <v>1</v>
      </c>
      <c r="D20" s="10">
        <f>'Control Consumo R - 2014'!Q19</f>
        <v>82.687165583333339</v>
      </c>
      <c r="E20" s="10">
        <v>84.243099999999998</v>
      </c>
      <c r="F20" s="10">
        <v>85.578199999999995</v>
      </c>
      <c r="G20" s="10">
        <v>84.41304199999999</v>
      </c>
      <c r="H20" s="10">
        <v>118.05560099999997</v>
      </c>
      <c r="I20" s="10">
        <v>33.743300000000005</v>
      </c>
      <c r="J20" s="10">
        <v>86.08</v>
      </c>
      <c r="K20" s="10">
        <v>-27.2881</v>
      </c>
      <c r="L20" s="10">
        <v>57.370699999999999</v>
      </c>
      <c r="M20" s="10">
        <v>59.286699999999996</v>
      </c>
      <c r="N20" s="10">
        <v>57</v>
      </c>
      <c r="O20" s="10">
        <v>57.267299999999999</v>
      </c>
      <c r="P20" s="10">
        <v>57.152999999999999</v>
      </c>
      <c r="Q20" s="45">
        <f t="shared" si="0"/>
        <v>62.741903583333333</v>
      </c>
      <c r="R20" s="36">
        <f t="shared" si="1"/>
        <v>752.90284299999996</v>
      </c>
    </row>
    <row r="21" spans="1:20" outlineLevel="2">
      <c r="A21" s="106"/>
      <c r="B21" s="72">
        <v>62910163</v>
      </c>
      <c r="C21" s="12" t="s">
        <v>2</v>
      </c>
      <c r="D21" s="13">
        <f>'Control Consumo R - 2014'!Q20</f>
        <v>71.677224166666647</v>
      </c>
      <c r="E21" s="13">
        <v>73.360899999999987</v>
      </c>
      <c r="F21" s="13">
        <v>73.467189999999988</v>
      </c>
      <c r="G21" s="13">
        <v>73.202899999999985</v>
      </c>
      <c r="H21" s="13">
        <v>73.202899999999985</v>
      </c>
      <c r="I21" s="13">
        <v>67.35866</v>
      </c>
      <c r="J21" s="13">
        <v>67.643360000000015</v>
      </c>
      <c r="K21" s="13">
        <v>67</v>
      </c>
      <c r="L21" s="13">
        <v>68.858064999999996</v>
      </c>
      <c r="M21" s="13">
        <v>72.720500000000015</v>
      </c>
      <c r="N21" s="13">
        <v>69.1524</v>
      </c>
      <c r="O21" s="13">
        <v>70.027000000000001</v>
      </c>
      <c r="P21" s="14">
        <v>68.603999999999999</v>
      </c>
      <c r="Q21" s="39">
        <f t="shared" si="0"/>
        <v>70.383156250000013</v>
      </c>
      <c r="R21" s="40">
        <f t="shared" si="1"/>
        <v>844.59787500000016</v>
      </c>
    </row>
    <row r="22" spans="1:20" outlineLevel="2">
      <c r="A22" s="106"/>
      <c r="B22" s="72">
        <v>62910165</v>
      </c>
      <c r="C22" s="12" t="s">
        <v>3</v>
      </c>
      <c r="D22" s="13">
        <f>'Control Consumo R - 2014'!Q21</f>
        <v>69.913004999999998</v>
      </c>
      <c r="E22" s="13">
        <v>72.303269999999983</v>
      </c>
      <c r="F22" s="13">
        <v>68.080989999999986</v>
      </c>
      <c r="G22" s="13">
        <v>72.067109999999971</v>
      </c>
      <c r="H22" s="13">
        <v>67.908670000000001</v>
      </c>
      <c r="I22" s="13">
        <v>56.425979999999996</v>
      </c>
      <c r="J22" s="13">
        <v>56.923990000000003</v>
      </c>
      <c r="K22" s="13">
        <v>57.273970000000006</v>
      </c>
      <c r="L22" s="13">
        <v>58.491970000000002</v>
      </c>
      <c r="M22" s="13">
        <v>57.063379999999995</v>
      </c>
      <c r="N22" s="13">
        <v>56.659689999999998</v>
      </c>
      <c r="O22" s="13">
        <v>56.610689999999998</v>
      </c>
      <c r="P22" s="14">
        <v>57.241990000000001</v>
      </c>
      <c r="Q22" s="39">
        <f t="shared" si="0"/>
        <v>61.420974999999977</v>
      </c>
      <c r="R22" s="40">
        <f t="shared" si="1"/>
        <v>737.05169999999976</v>
      </c>
    </row>
    <row r="23" spans="1:20" outlineLevel="2">
      <c r="A23" s="106"/>
      <c r="B23" s="72">
        <v>62910169</v>
      </c>
      <c r="C23" s="12" t="s">
        <v>4</v>
      </c>
      <c r="D23" s="13">
        <f>'Control Consumo R - 2014'!Q22</f>
        <v>71.190748333333318</v>
      </c>
      <c r="E23" s="13">
        <v>70.254499999999979</v>
      </c>
      <c r="F23" s="13">
        <v>69.535999999999987</v>
      </c>
      <c r="G23" s="13">
        <v>69.245999999999981</v>
      </c>
      <c r="H23" s="13">
        <v>69.653999999999982</v>
      </c>
      <c r="I23" s="13">
        <v>58.052</v>
      </c>
      <c r="J23" s="13">
        <v>58</v>
      </c>
      <c r="K23" s="13">
        <v>58.341999999999999</v>
      </c>
      <c r="L23" s="13">
        <v>58.43</v>
      </c>
      <c r="M23" s="13">
        <v>59.198699999999995</v>
      </c>
      <c r="N23" s="13">
        <v>58.116</v>
      </c>
      <c r="O23" s="13">
        <v>58.043999999999997</v>
      </c>
      <c r="P23" s="14">
        <v>59.442</v>
      </c>
      <c r="Q23" s="39">
        <f t="shared" si="0"/>
        <v>62.192933333333322</v>
      </c>
      <c r="R23" s="40">
        <f t="shared" si="1"/>
        <v>746.31519999999989</v>
      </c>
    </row>
    <row r="24" spans="1:20" outlineLevel="2">
      <c r="A24" s="106"/>
      <c r="B24" s="72">
        <v>62910170</v>
      </c>
      <c r="C24" s="12" t="s">
        <v>5</v>
      </c>
      <c r="D24" s="13">
        <f>'Control Consumo R - 2014'!Q23</f>
        <v>71.121320499999996</v>
      </c>
      <c r="E24" s="13">
        <v>68.270099999999985</v>
      </c>
      <c r="F24" s="13">
        <v>67.660989999999998</v>
      </c>
      <c r="G24" s="13">
        <v>70.569199999999995</v>
      </c>
      <c r="H24" s="13">
        <v>67.484699999999975</v>
      </c>
      <c r="I24" s="13">
        <v>57.357799999999997</v>
      </c>
      <c r="J24" s="13">
        <v>56.284000000000006</v>
      </c>
      <c r="K24" s="13">
        <v>56</v>
      </c>
      <c r="L24" s="13">
        <v>56.649300000000004</v>
      </c>
      <c r="M24" s="13">
        <v>56.290000000000006</v>
      </c>
      <c r="N24" s="13">
        <v>56.082000000000001</v>
      </c>
      <c r="O24" s="13">
        <v>56.2453</v>
      </c>
      <c r="P24" s="14">
        <v>56.815300000000001</v>
      </c>
      <c r="Q24" s="39">
        <f t="shared" si="0"/>
        <v>60.475724166666659</v>
      </c>
      <c r="R24" s="40">
        <f t="shared" si="1"/>
        <v>725.70868999999993</v>
      </c>
    </row>
    <row r="25" spans="1:20" outlineLevel="2">
      <c r="A25" s="106"/>
      <c r="B25" s="72">
        <v>62910178</v>
      </c>
      <c r="C25" s="12" t="s">
        <v>6</v>
      </c>
      <c r="D25" s="13">
        <f>'Control Consumo R - 2014'!Q24</f>
        <v>79.994803333333337</v>
      </c>
      <c r="E25" s="13">
        <v>81.123720000000006</v>
      </c>
      <c r="F25" s="13">
        <v>81.573999999999984</v>
      </c>
      <c r="G25" s="13">
        <v>81.646599999999978</v>
      </c>
      <c r="H25" s="13">
        <v>80.597999999999999</v>
      </c>
      <c r="I25" s="13">
        <v>64.954699999999988</v>
      </c>
      <c r="J25" s="13">
        <v>62</v>
      </c>
      <c r="K25" s="13">
        <v>74.602000000000004</v>
      </c>
      <c r="L25" s="13">
        <v>74.807999999999993</v>
      </c>
      <c r="M25" s="13">
        <v>73.234000000000009</v>
      </c>
      <c r="N25" s="13">
        <v>59.712000000000003</v>
      </c>
      <c r="O25" s="13">
        <v>60.271400000000007</v>
      </c>
      <c r="P25" s="14">
        <v>61.564</v>
      </c>
      <c r="Q25" s="39">
        <f t="shared" si="0"/>
        <v>71.340701666666661</v>
      </c>
      <c r="R25" s="40">
        <f t="shared" si="1"/>
        <v>856.08841999999993</v>
      </c>
    </row>
    <row r="26" spans="1:20" outlineLevel="2">
      <c r="A26" s="106"/>
      <c r="B26" s="72">
        <v>62910179</v>
      </c>
      <c r="C26" s="12" t="s">
        <v>7</v>
      </c>
      <c r="D26" s="13">
        <f>'Control Consumo R - 2014'!Q25</f>
        <v>71.65297249999999</v>
      </c>
      <c r="E26" s="13">
        <v>73.019599999999997</v>
      </c>
      <c r="F26" s="13">
        <v>69.427999999999983</v>
      </c>
      <c r="G26" s="13">
        <v>68.680344999999988</v>
      </c>
      <c r="H26" s="13">
        <v>67.558699999999988</v>
      </c>
      <c r="I26" s="13">
        <v>56.703299999999999</v>
      </c>
      <c r="J26" s="13">
        <v>56.176000000000002</v>
      </c>
      <c r="K26" s="13">
        <v>57.663000000000004</v>
      </c>
      <c r="L26" s="13">
        <v>56.736699999999999</v>
      </c>
      <c r="M26" s="13">
        <v>56.648000000000003</v>
      </c>
      <c r="N26" s="13">
        <v>56.628</v>
      </c>
      <c r="O26" s="13">
        <v>56.338000000000001</v>
      </c>
      <c r="P26" s="14">
        <v>58.694000000000003</v>
      </c>
      <c r="Q26" s="39">
        <f t="shared" si="0"/>
        <v>61.189470416666659</v>
      </c>
      <c r="R26" s="40">
        <f t="shared" si="1"/>
        <v>734.27364499999987</v>
      </c>
    </row>
    <row r="27" spans="1:20" outlineLevel="2">
      <c r="A27" s="106"/>
      <c r="B27" s="72">
        <v>62910232</v>
      </c>
      <c r="C27" s="12" t="s">
        <v>8</v>
      </c>
      <c r="D27" s="13">
        <f>'Control Consumo R - 2014'!Q26</f>
        <v>77.631665916666677</v>
      </c>
      <c r="E27" s="13">
        <v>70.196699999999979</v>
      </c>
      <c r="F27" s="13">
        <v>71.202099999999987</v>
      </c>
      <c r="G27" s="13">
        <v>66.218299999999985</v>
      </c>
      <c r="H27" s="13">
        <v>66.619299999999981</v>
      </c>
      <c r="I27" s="13">
        <v>57</v>
      </c>
      <c r="J27" s="13">
        <v>57.28</v>
      </c>
      <c r="K27" s="13">
        <v>57.63</v>
      </c>
      <c r="L27" s="13">
        <v>57.555</v>
      </c>
      <c r="M27" s="13">
        <v>57.481000000000002</v>
      </c>
      <c r="N27" s="13">
        <v>57.906700000000001</v>
      </c>
      <c r="O27" s="13">
        <v>57.536000000000001</v>
      </c>
      <c r="P27" s="14">
        <v>61.075600000000001</v>
      </c>
      <c r="Q27" s="39">
        <f t="shared" si="0"/>
        <v>61.47505833333333</v>
      </c>
      <c r="R27" s="40">
        <f t="shared" si="1"/>
        <v>737.70069999999998</v>
      </c>
    </row>
    <row r="28" spans="1:20" outlineLevel="2">
      <c r="A28" s="106"/>
      <c r="B28" s="72">
        <v>62910233</v>
      </c>
      <c r="C28" s="12" t="s">
        <v>9</v>
      </c>
      <c r="D28" s="13">
        <f>'Control Consumo R - 2014'!Q27</f>
        <v>77.531407833333333</v>
      </c>
      <c r="E28" s="13">
        <v>71.128899999999973</v>
      </c>
      <c r="F28" s="13">
        <v>69.243999999999986</v>
      </c>
      <c r="G28" s="13">
        <v>69.474699999999984</v>
      </c>
      <c r="H28" s="13">
        <v>69.396999999999977</v>
      </c>
      <c r="I28" s="13">
        <v>57.033999999999999</v>
      </c>
      <c r="J28" s="13">
        <v>57.156700000000001</v>
      </c>
      <c r="K28" s="13">
        <v>57.004000000000005</v>
      </c>
      <c r="L28" s="13">
        <v>55.097999999999999</v>
      </c>
      <c r="M28" s="13">
        <v>57.150700000000001</v>
      </c>
      <c r="N28" s="13">
        <v>57.302</v>
      </c>
      <c r="O28" s="13">
        <v>57</v>
      </c>
      <c r="P28" s="14">
        <v>57.755499999999998</v>
      </c>
      <c r="Q28" s="39">
        <f t="shared" si="0"/>
        <v>61.228791666666666</v>
      </c>
      <c r="R28" s="40">
        <f t="shared" si="1"/>
        <v>734.74549999999999</v>
      </c>
    </row>
    <row r="29" spans="1:20" outlineLevel="2">
      <c r="A29" s="106"/>
      <c r="B29" s="72">
        <v>62910119</v>
      </c>
      <c r="C29" s="12" t="s">
        <v>10</v>
      </c>
      <c r="D29" s="13">
        <f>'Control Consumo R - 2014'!Q28</f>
        <v>63.554666666666662</v>
      </c>
      <c r="E29" s="13">
        <v>63.849499999999992</v>
      </c>
      <c r="F29" s="13">
        <v>61.585999999999991</v>
      </c>
      <c r="G29" s="13">
        <v>61.36399999999999</v>
      </c>
      <c r="H29" s="13">
        <v>60.742000000000004</v>
      </c>
      <c r="I29" s="13">
        <v>54.495999999999995</v>
      </c>
      <c r="J29" s="13">
        <v>55.182000000000002</v>
      </c>
      <c r="K29" s="13">
        <v>55.777999999999999</v>
      </c>
      <c r="L29" s="13">
        <v>57</v>
      </c>
      <c r="M29" s="13">
        <v>55.655999999999999</v>
      </c>
      <c r="N29" s="13">
        <v>54.974000000000004</v>
      </c>
      <c r="O29" s="13">
        <v>54.31</v>
      </c>
      <c r="P29" s="14">
        <v>57.55</v>
      </c>
      <c r="Q29" s="39">
        <f t="shared" si="0"/>
        <v>57.707291666666663</v>
      </c>
      <c r="R29" s="40">
        <f t="shared" si="1"/>
        <v>692.48749999999995</v>
      </c>
    </row>
    <row r="30" spans="1:20" outlineLevel="2">
      <c r="A30" s="106"/>
      <c r="B30" s="72">
        <v>62910235</v>
      </c>
      <c r="C30" s="12" t="s">
        <v>37</v>
      </c>
      <c r="D30" s="13">
        <f>'Control Consumo R - 2014'!Q29</f>
        <v>68.410311666666658</v>
      </c>
      <c r="E30" s="13">
        <v>68.513669999999991</v>
      </c>
      <c r="F30" s="13">
        <v>64.052689999999984</v>
      </c>
      <c r="G30" s="13">
        <v>64.643949999999975</v>
      </c>
      <c r="H30" s="79">
        <v>64.152679999999975</v>
      </c>
      <c r="I30" s="13">
        <v>57.256689999999999</v>
      </c>
      <c r="J30" s="13">
        <v>57.556660000000001</v>
      </c>
      <c r="K30" s="13">
        <v>57.99662</v>
      </c>
      <c r="L30" s="13">
        <v>59.376479999999994</v>
      </c>
      <c r="M30" s="13">
        <v>59.408060000000006</v>
      </c>
      <c r="N30" s="13">
        <v>59.296489999999999</v>
      </c>
      <c r="O30" s="13">
        <v>58.903530000000003</v>
      </c>
      <c r="P30" s="14">
        <v>58.660579999999996</v>
      </c>
      <c r="Q30" s="39">
        <f t="shared" si="0"/>
        <v>60.818174999999997</v>
      </c>
      <c r="R30" s="40">
        <f t="shared" si="1"/>
        <v>729.81809999999996</v>
      </c>
    </row>
    <row r="31" spans="1:20" outlineLevel="2">
      <c r="A31" s="106"/>
      <c r="B31" s="72">
        <v>62910340</v>
      </c>
      <c r="C31" s="12" t="s">
        <v>44</v>
      </c>
      <c r="D31" s="13">
        <f>'Control Consumo R - 2014'!Q30</f>
        <v>60.499136749999998</v>
      </c>
      <c r="E31" s="13">
        <v>58</v>
      </c>
      <c r="F31" s="13">
        <v>58</v>
      </c>
      <c r="G31" s="13">
        <v>58</v>
      </c>
      <c r="H31" s="13">
        <v>58</v>
      </c>
      <c r="I31" s="13">
        <v>51</v>
      </c>
      <c r="J31" s="13">
        <v>51</v>
      </c>
      <c r="K31" s="13">
        <v>51</v>
      </c>
      <c r="L31" s="13">
        <v>51.486600000000003</v>
      </c>
      <c r="M31" s="13">
        <v>52.1233</v>
      </c>
      <c r="N31" s="13">
        <v>51</v>
      </c>
      <c r="O31" s="13">
        <v>51.665999999999997</v>
      </c>
      <c r="P31" s="14">
        <v>53.647262000000005</v>
      </c>
      <c r="Q31" s="39">
        <f t="shared" si="0"/>
        <v>53.743596833333335</v>
      </c>
      <c r="R31" s="40">
        <f t="shared" si="1"/>
        <v>644.92316200000005</v>
      </c>
    </row>
    <row r="32" spans="1:20" outlineLevel="2">
      <c r="A32" s="106"/>
      <c r="B32" s="75">
        <v>62910238</v>
      </c>
      <c r="C32" s="3" t="s">
        <v>48</v>
      </c>
      <c r="D32" s="13">
        <f>'Control Consumo R - 2014'!Q31</f>
        <v>84.432166333333328</v>
      </c>
      <c r="E32" s="76">
        <v>76.082699999999988</v>
      </c>
      <c r="F32" s="76">
        <v>73.098299999999981</v>
      </c>
      <c r="G32" s="76">
        <v>73.846299999999985</v>
      </c>
      <c r="H32" s="76">
        <v>73.300999999999974</v>
      </c>
      <c r="I32" s="76">
        <v>55.031100000000002</v>
      </c>
      <c r="J32" s="76">
        <v>56.624500000000005</v>
      </c>
      <c r="K32" s="76">
        <v>56.4512</v>
      </c>
      <c r="L32" s="76">
        <v>55.655100000000004</v>
      </c>
      <c r="M32" s="76">
        <v>55.273099999999999</v>
      </c>
      <c r="N32" s="76">
        <v>55.319800000000001</v>
      </c>
      <c r="O32" s="76">
        <v>55.031100000000002</v>
      </c>
      <c r="P32" s="77">
        <v>57.133099999999999</v>
      </c>
      <c r="Q32" s="39">
        <f t="shared" si="0"/>
        <v>61.903941666666661</v>
      </c>
      <c r="R32" s="40">
        <f t="shared" si="1"/>
        <v>742.8472999999999</v>
      </c>
    </row>
    <row r="33" spans="1:20" outlineLevel="2">
      <c r="A33" s="106"/>
      <c r="B33" s="75"/>
      <c r="C33" s="3" t="s">
        <v>51</v>
      </c>
      <c r="D33" s="13">
        <f>'Control Consumo R - 2014'!Q32</f>
        <v>65.028197800000001</v>
      </c>
      <c r="E33" s="76">
        <v>75.583300000000008</v>
      </c>
      <c r="F33" s="76">
        <v>71.989400000000003</v>
      </c>
      <c r="G33" s="76">
        <v>71.989400000000003</v>
      </c>
      <c r="H33" s="76">
        <v>71.989400000000003</v>
      </c>
      <c r="I33" s="76">
        <v>71</v>
      </c>
      <c r="J33" s="76">
        <v>71.455299999999994</v>
      </c>
      <c r="K33" s="76">
        <v>71.377499999999998</v>
      </c>
      <c r="L33" s="76">
        <v>71</v>
      </c>
      <c r="M33" s="76">
        <v>71.150499999999994</v>
      </c>
      <c r="N33" s="76">
        <v>71</v>
      </c>
      <c r="O33" s="76">
        <v>71</v>
      </c>
      <c r="P33" s="77">
        <v>71</v>
      </c>
      <c r="Q33" s="39">
        <f t="shared" ref="Q33:Q34" si="6">AVERAGE(E33:P33)</f>
        <v>71.711233333333325</v>
      </c>
      <c r="R33" s="40">
        <f t="shared" ref="R33:R34" si="7">SUM(E33:P33)</f>
        <v>860.5347999999999</v>
      </c>
    </row>
    <row r="34" spans="1:20" outlineLevel="2">
      <c r="A34" s="107"/>
      <c r="B34" s="75"/>
      <c r="C34" s="3" t="s">
        <v>56</v>
      </c>
      <c r="D34" s="13">
        <f>'Control Consumo R - 2014'!Q33</f>
        <v>0</v>
      </c>
      <c r="E34" s="76"/>
      <c r="F34" s="76"/>
      <c r="G34" s="76"/>
      <c r="H34" s="76"/>
      <c r="I34" s="76"/>
      <c r="J34" s="76"/>
      <c r="K34" s="76"/>
      <c r="L34" s="76"/>
      <c r="M34" s="76"/>
      <c r="N34" s="76">
        <v>53.387096999999997</v>
      </c>
      <c r="O34" s="76">
        <v>54.766666999999998</v>
      </c>
      <c r="P34" s="77">
        <v>71.168700000000001</v>
      </c>
      <c r="Q34" s="39">
        <f t="shared" si="6"/>
        <v>59.774154666666668</v>
      </c>
      <c r="R34" s="40">
        <f t="shared" si="7"/>
        <v>179.322464</v>
      </c>
    </row>
    <row r="35" spans="1:20" ht="15" outlineLevel="2" thickBot="1">
      <c r="A35" s="22" t="s">
        <v>32</v>
      </c>
      <c r="B35" s="68"/>
      <c r="C35" s="17"/>
      <c r="D35" s="18">
        <f t="shared" ref="D35:E35" si="8">SUBTOTAL(9,D20:D34)</f>
        <v>1015.3247923833333</v>
      </c>
      <c r="E35" s="18">
        <f t="shared" si="8"/>
        <v>1005.9299599999997</v>
      </c>
      <c r="F35" s="18">
        <f>SUBTOTAL(9,F20:F34)</f>
        <v>984.49785999999995</v>
      </c>
      <c r="G35" s="18">
        <f t="shared" ref="G35:P35" si="9">SUBTOTAL(9,G20:G34)</f>
        <v>985.36184700000001</v>
      </c>
      <c r="H35" s="18">
        <f t="shared" si="9"/>
        <v>1008.6639509999997</v>
      </c>
      <c r="I35" s="18">
        <f t="shared" si="9"/>
        <v>797.41353000000004</v>
      </c>
      <c r="J35" s="18">
        <f t="shared" si="9"/>
        <v>849.36250999999993</v>
      </c>
      <c r="K35" s="18">
        <f t="shared" si="9"/>
        <v>750.83019000000013</v>
      </c>
      <c r="L35" s="18">
        <f t="shared" si="9"/>
        <v>838.51591499999995</v>
      </c>
      <c r="M35" s="18">
        <f t="shared" si="9"/>
        <v>842.68393999999989</v>
      </c>
      <c r="N35" s="18">
        <f t="shared" si="9"/>
        <v>873.53617699999995</v>
      </c>
      <c r="O35" s="18">
        <f t="shared" si="9"/>
        <v>875.01698699999997</v>
      </c>
      <c r="P35" s="18">
        <f t="shared" si="9"/>
        <v>907.50503200000003</v>
      </c>
      <c r="Q35" s="41">
        <f>SUM(Q20:Q34)</f>
        <v>938.10710758333323</v>
      </c>
      <c r="R35" s="46">
        <f t="shared" si="1"/>
        <v>10719.317898999998</v>
      </c>
      <c r="T35" s="20">
        <f>AVERAGE(E20:P32)</f>
        <v>62.04782458333333</v>
      </c>
    </row>
    <row r="36" spans="1:20" outlineLevel="1">
      <c r="A36" s="103" t="s">
        <v>18</v>
      </c>
      <c r="B36" s="64">
        <v>62910182</v>
      </c>
      <c r="C36" s="12" t="s">
        <v>19</v>
      </c>
      <c r="D36" s="13">
        <f>'Control Consumo R - 2014'!Q35</f>
        <v>60.584458000000012</v>
      </c>
      <c r="E36" s="13">
        <v>67.825500000000005</v>
      </c>
      <c r="F36" s="13">
        <v>68.577200000000005</v>
      </c>
      <c r="G36" s="13">
        <v>67.999200000000002</v>
      </c>
      <c r="H36" s="13">
        <v>68.109200000000001</v>
      </c>
      <c r="I36" s="13">
        <v>52.254000000000005</v>
      </c>
      <c r="J36" s="13">
        <v>52.268000000000001</v>
      </c>
      <c r="K36" s="13">
        <v>53.25</v>
      </c>
      <c r="L36" s="13">
        <v>52</v>
      </c>
      <c r="M36" s="13">
        <v>55.374000000000002</v>
      </c>
      <c r="N36" s="13">
        <v>53.11</v>
      </c>
      <c r="O36" s="13">
        <v>52.384700000000002</v>
      </c>
      <c r="P36" s="14">
        <v>56.196000000000005</v>
      </c>
      <c r="Q36" s="39">
        <f t="shared" si="0"/>
        <v>58.278983333333336</v>
      </c>
      <c r="R36" s="40">
        <f t="shared" si="1"/>
        <v>699.34780000000001</v>
      </c>
    </row>
    <row r="37" spans="1:20" outlineLevel="2">
      <c r="A37" s="104"/>
      <c r="B37" s="67">
        <v>62910182</v>
      </c>
      <c r="C37" s="12" t="s">
        <v>20</v>
      </c>
      <c r="D37" s="13">
        <f>'Control Consumo R - 2014'!Q36</f>
        <v>52.604274999999994</v>
      </c>
      <c r="E37" s="13">
        <v>52.556000000000004</v>
      </c>
      <c r="F37" s="13">
        <v>47.556000000000004</v>
      </c>
      <c r="G37" s="13">
        <v>47.556000000000004</v>
      </c>
      <c r="H37" s="13">
        <v>47.556000000000004</v>
      </c>
      <c r="I37" s="13">
        <v>41.56</v>
      </c>
      <c r="J37" s="13">
        <v>41.56</v>
      </c>
      <c r="K37" s="13">
        <v>41.56</v>
      </c>
      <c r="L37" s="13">
        <v>41.56</v>
      </c>
      <c r="M37" s="13">
        <v>41.56</v>
      </c>
      <c r="N37" s="13">
        <v>41.76</v>
      </c>
      <c r="O37" s="13">
        <v>41.56</v>
      </c>
      <c r="P37" s="14">
        <v>41.56</v>
      </c>
      <c r="Q37" s="39">
        <f t="shared" si="0"/>
        <v>43.991999999999997</v>
      </c>
      <c r="R37" s="40">
        <f t="shared" si="1"/>
        <v>527.904</v>
      </c>
    </row>
    <row r="38" spans="1:20" outlineLevel="2">
      <c r="A38" s="104"/>
      <c r="B38" s="67"/>
      <c r="C38" s="12" t="s">
        <v>55</v>
      </c>
      <c r="D38" s="13"/>
      <c r="E38" s="13"/>
      <c r="F38" s="13"/>
      <c r="G38" s="13"/>
      <c r="H38" s="13"/>
      <c r="I38" s="13">
        <v>19.032259000000003</v>
      </c>
      <c r="J38" s="13">
        <v>45.433332999999998</v>
      </c>
      <c r="K38" s="13">
        <v>47</v>
      </c>
      <c r="L38" s="13">
        <v>47</v>
      </c>
      <c r="M38" s="13">
        <v>47</v>
      </c>
      <c r="N38" s="13">
        <v>47</v>
      </c>
      <c r="O38" s="13">
        <v>47</v>
      </c>
      <c r="P38" s="14">
        <v>47</v>
      </c>
      <c r="Q38" s="39">
        <f t="shared" si="0"/>
        <v>43.308199000000002</v>
      </c>
      <c r="R38" s="40"/>
    </row>
    <row r="39" spans="1:20" outlineLevel="2">
      <c r="A39" s="104"/>
      <c r="B39" s="67">
        <v>62910182</v>
      </c>
      <c r="C39" s="12" t="s">
        <v>38</v>
      </c>
      <c r="D39" s="13">
        <f>'Control Consumo R - 2014'!Q37</f>
        <v>51.87177775</v>
      </c>
      <c r="E39" s="13">
        <v>50.441900000000011</v>
      </c>
      <c r="F39" s="13">
        <v>46.996000000000002</v>
      </c>
      <c r="G39" s="13">
        <v>46.996000000000002</v>
      </c>
      <c r="H39" s="13">
        <v>47.575999999999993</v>
      </c>
      <c r="I39" s="13">
        <v>41</v>
      </c>
      <c r="J39" s="13">
        <v>41.872</v>
      </c>
      <c r="K39" s="13">
        <v>41.167999999999999</v>
      </c>
      <c r="L39" s="13">
        <v>41.167999999999999</v>
      </c>
      <c r="M39" s="13">
        <v>41</v>
      </c>
      <c r="N39" s="13">
        <v>41</v>
      </c>
      <c r="O39" s="13">
        <v>41.636700000000005</v>
      </c>
      <c r="P39" s="14">
        <v>41</v>
      </c>
      <c r="Q39" s="39">
        <f t="shared" si="0"/>
        <v>43.487883333333343</v>
      </c>
      <c r="R39" s="40">
        <f>SUM(E39:P39)</f>
        <v>521.85460000000012</v>
      </c>
    </row>
    <row r="40" spans="1:20" outlineLevel="2">
      <c r="A40" s="104"/>
      <c r="B40" s="67">
        <v>62910182</v>
      </c>
      <c r="C40" s="12" t="s">
        <v>39</v>
      </c>
      <c r="D40" s="13">
        <f>'Control Consumo R - 2014'!Q38</f>
        <v>50.549904749999996</v>
      </c>
      <c r="E40" s="13">
        <v>50.010100000000001</v>
      </c>
      <c r="F40" s="13">
        <v>46.996000000000002</v>
      </c>
      <c r="G40" s="13">
        <v>46.996000000000002</v>
      </c>
      <c r="H40" s="13">
        <v>48.377400000000002</v>
      </c>
      <c r="I40" s="13">
        <v>41</v>
      </c>
      <c r="J40" s="13">
        <v>41</v>
      </c>
      <c r="K40" s="13">
        <v>41</v>
      </c>
      <c r="L40" s="13">
        <v>41.524899999999995</v>
      </c>
      <c r="M40" s="13">
        <v>41</v>
      </c>
      <c r="N40" s="13">
        <v>42.140300000000003</v>
      </c>
      <c r="O40" s="13">
        <v>41</v>
      </c>
      <c r="P40" s="14">
        <v>41.298000000000002</v>
      </c>
      <c r="Q40" s="39">
        <f t="shared" si="0"/>
        <v>43.528558333333336</v>
      </c>
      <c r="R40" s="40">
        <f>SUM(E40:P40)</f>
        <v>522.34270000000004</v>
      </c>
    </row>
    <row r="41" spans="1:20" ht="15" outlineLevel="2" thickBot="1">
      <c r="A41" s="22" t="s">
        <v>33</v>
      </c>
      <c r="B41" s="68"/>
      <c r="C41" s="17"/>
      <c r="D41" s="18">
        <f>'Control Consumo R - 2014'!Q39</f>
        <v>215.61041550000002</v>
      </c>
      <c r="E41" s="18">
        <f>SUBTOTAL(9,E36:E40)</f>
        <v>220.83350000000002</v>
      </c>
      <c r="F41" s="18">
        <f t="shared" ref="F41:P41" si="10">SUBTOTAL(9,F36:F40)</f>
        <v>210.12520000000004</v>
      </c>
      <c r="G41" s="18">
        <f t="shared" si="10"/>
        <v>209.54720000000003</v>
      </c>
      <c r="H41" s="18">
        <f t="shared" si="10"/>
        <v>211.61859999999999</v>
      </c>
      <c r="I41" s="18">
        <f t="shared" si="10"/>
        <v>194.846259</v>
      </c>
      <c r="J41" s="18">
        <f t="shared" si="10"/>
        <v>222.13333299999999</v>
      </c>
      <c r="K41" s="18">
        <f t="shared" si="10"/>
        <v>223.97800000000001</v>
      </c>
      <c r="L41" s="18">
        <f t="shared" si="10"/>
        <v>223.25290000000001</v>
      </c>
      <c r="M41" s="18">
        <f t="shared" si="10"/>
        <v>225.934</v>
      </c>
      <c r="N41" s="18">
        <f t="shared" si="10"/>
        <v>225.0103</v>
      </c>
      <c r="O41" s="18">
        <f t="shared" si="10"/>
        <v>223.58140000000003</v>
      </c>
      <c r="P41" s="19">
        <f t="shared" si="10"/>
        <v>227.054</v>
      </c>
      <c r="Q41" s="41">
        <f>SUM(Q36:Q40)</f>
        <v>232.59562400000002</v>
      </c>
      <c r="R41" s="46">
        <f>SUM(E41:P41)</f>
        <v>2617.9146920000003</v>
      </c>
      <c r="T41" s="20">
        <f>AVERAGE(E36:P40)</f>
        <v>46.748476642857135</v>
      </c>
    </row>
    <row r="42" spans="1:20" ht="15" outlineLevel="1" thickBot="1">
      <c r="A42" s="24"/>
      <c r="B42" s="24"/>
      <c r="C42" s="25"/>
      <c r="D42" s="25">
        <f>'Control Consumo R - 2014'!Q40</f>
        <v>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47"/>
      <c r="R42" s="48"/>
    </row>
    <row r="43" spans="1:20" ht="15" outlineLevel="1" thickBot="1">
      <c r="A43" s="28" t="s">
        <v>27</v>
      </c>
      <c r="B43" s="69"/>
      <c r="C43" s="29"/>
      <c r="D43" s="30">
        <f>'Control Consumo R - 2014'!Q41</f>
        <v>4895.4725807500008</v>
      </c>
      <c r="E43" s="30">
        <f t="shared" ref="E43:P43" si="11">SUBTOTAL(9,E2:E40)</f>
        <v>5274.9158809999981</v>
      </c>
      <c r="F43" s="30">
        <f t="shared" si="11"/>
        <v>5223.8940599999996</v>
      </c>
      <c r="G43" s="30">
        <f t="shared" si="11"/>
        <v>5279.1431009999978</v>
      </c>
      <c r="H43" s="30">
        <f t="shared" si="11"/>
        <v>5165.6810409999998</v>
      </c>
      <c r="I43" s="30">
        <f t="shared" si="11"/>
        <v>4583.3840920000002</v>
      </c>
      <c r="J43" s="30">
        <f t="shared" si="11"/>
        <v>4812.8414090000006</v>
      </c>
      <c r="K43" s="30">
        <f t="shared" si="11"/>
        <v>4887.8324020000009</v>
      </c>
      <c r="L43" s="30">
        <f t="shared" si="11"/>
        <v>4729.9154150000013</v>
      </c>
      <c r="M43" s="30">
        <f t="shared" si="11"/>
        <v>4819.6631400000006</v>
      </c>
      <c r="N43" s="30">
        <f t="shared" si="11"/>
        <v>4772.7273949999999</v>
      </c>
      <c r="O43" s="30">
        <f t="shared" si="11"/>
        <v>4816.784087</v>
      </c>
      <c r="P43" s="31">
        <f t="shared" si="11"/>
        <v>5376.7117170000029</v>
      </c>
      <c r="Q43" s="43">
        <f>AVERAGE(E43:P43)</f>
        <v>4978.6244783333341</v>
      </c>
      <c r="R43" s="44">
        <f t="shared" si="1"/>
        <v>59743.493740000013</v>
      </c>
    </row>
    <row r="44" spans="1:20" ht="15" thickBot="1">
      <c r="A44" s="25"/>
      <c r="B44" s="25"/>
      <c r="C44" s="25"/>
      <c r="D44" s="25">
        <f>'Control Consumo R - 2014'!Q42</f>
        <v>0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32"/>
      <c r="Q44" s="47"/>
      <c r="R44" s="48"/>
      <c r="T44" s="2"/>
    </row>
    <row r="45" spans="1:20" ht="15" thickBot="1">
      <c r="A45" s="33" t="s">
        <v>26</v>
      </c>
      <c r="B45" s="70"/>
      <c r="C45" s="29"/>
      <c r="D45" s="30">
        <f>'Control Consumo R - 2014'!Q43</f>
        <v>4895.5068500000007</v>
      </c>
      <c r="E45" s="30">
        <v>5274.92</v>
      </c>
      <c r="F45" s="30">
        <v>5223.8900000000003</v>
      </c>
      <c r="G45" s="30">
        <v>5279.14</v>
      </c>
      <c r="H45" s="30">
        <v>5165.68</v>
      </c>
      <c r="I45" s="30">
        <f>4556.8+19.03+7.55</f>
        <v>4583.38</v>
      </c>
      <c r="J45" s="30">
        <v>4812.84</v>
      </c>
      <c r="K45" s="30">
        <v>4887.83</v>
      </c>
      <c r="L45" s="30">
        <v>4729.92</v>
      </c>
      <c r="M45" s="30">
        <v>4819.66</v>
      </c>
      <c r="N45" s="30">
        <f>4719.34+53.39</f>
        <v>4772.7300000000005</v>
      </c>
      <c r="O45" s="30">
        <v>4816.78</v>
      </c>
      <c r="P45" s="31">
        <v>5376.71</v>
      </c>
      <c r="Q45" s="43">
        <f>AVERAGE(E45:P45)</f>
        <v>4978.623333333333</v>
      </c>
      <c r="R45" s="44">
        <f t="shared" si="1"/>
        <v>59743.479999999996</v>
      </c>
    </row>
    <row r="46" spans="1:20" s="37" customFormat="1">
      <c r="A46" s="35"/>
      <c r="B46" s="35"/>
      <c r="C46" s="35"/>
      <c r="D46" s="35"/>
      <c r="E46" s="38"/>
      <c r="F46" s="79"/>
      <c r="G46" s="38"/>
      <c r="H46" s="79"/>
      <c r="I46" s="79"/>
      <c r="J46" s="38"/>
      <c r="K46" s="79"/>
      <c r="L46" s="38"/>
      <c r="M46" s="79"/>
      <c r="N46" s="79"/>
      <c r="O46" s="79"/>
      <c r="P46" s="38"/>
      <c r="Q46" s="79"/>
      <c r="R46" s="79"/>
      <c r="T46" s="79"/>
    </row>
    <row r="47" spans="1:20">
      <c r="L47" s="38"/>
    </row>
    <row r="50" spans="6:16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4">
    <mergeCell ref="A2:A7"/>
    <mergeCell ref="A9:A18"/>
    <mergeCell ref="A20:A34"/>
    <mergeCell ref="A36:A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topLeftCell="B1" workbookViewId="0">
      <selection activeCell="R2" sqref="R2"/>
    </sheetView>
  </sheetViews>
  <sheetFormatPr baseColWidth="10" defaultColWidth="11.44140625" defaultRowHeight="14.4" outlineLevelRow="2"/>
  <cols>
    <col min="1" max="1" width="25.44140625" style="35" customWidth="1"/>
    <col min="2" max="2" width="10" style="35" bestFit="1" customWidth="1"/>
    <col min="3" max="3" width="15" style="35" bestFit="1" customWidth="1"/>
    <col min="4" max="4" width="14.109375" style="35" bestFit="1" customWidth="1"/>
    <col min="5" max="5" width="13.6640625" style="79" bestFit="1" customWidth="1"/>
    <col min="6" max="7" width="12.6640625" style="79" bestFit="1" customWidth="1"/>
    <col min="8" max="10" width="12" style="79" bestFit="1" customWidth="1"/>
    <col min="11" max="14" width="11.5546875" style="79" bestFit="1" customWidth="1"/>
    <col min="15" max="15" width="12.33203125" style="79" bestFit="1" customWidth="1"/>
    <col min="16" max="16" width="11.5546875" style="79" bestFit="1" customWidth="1"/>
    <col min="17" max="17" width="14.109375" style="79" bestFit="1" customWidth="1"/>
    <col min="18" max="18" width="12.5546875" style="79" bestFit="1" customWidth="1"/>
    <col min="19" max="16384" width="11.44140625" style="35"/>
  </cols>
  <sheetData>
    <row r="1" spans="1:18" ht="15" thickBot="1">
      <c r="A1" s="3"/>
      <c r="B1" s="78" t="s">
        <v>47</v>
      </c>
      <c r="C1" s="3"/>
      <c r="D1" s="5" t="str">
        <f>'Control Consumo R - 2015'!Q1</f>
        <v>Promedio 2015</v>
      </c>
      <c r="E1" s="5">
        <v>42370</v>
      </c>
      <c r="F1" s="5">
        <v>42401</v>
      </c>
      <c r="G1" s="5">
        <v>42430</v>
      </c>
      <c r="H1" s="5">
        <v>42461</v>
      </c>
      <c r="I1" s="5">
        <v>42491</v>
      </c>
      <c r="J1" s="5">
        <v>42522</v>
      </c>
      <c r="K1" s="5">
        <v>42552</v>
      </c>
      <c r="L1" s="5">
        <v>42583</v>
      </c>
      <c r="M1" s="5">
        <v>42614</v>
      </c>
      <c r="N1" s="5">
        <v>42644</v>
      </c>
      <c r="O1" s="5">
        <v>42675</v>
      </c>
      <c r="P1" s="5">
        <v>42705</v>
      </c>
      <c r="Q1" s="42" t="s">
        <v>58</v>
      </c>
      <c r="R1" s="34" t="s">
        <v>59</v>
      </c>
    </row>
    <row r="2" spans="1:18" outlineLevel="2">
      <c r="A2" s="105" t="s">
        <v>0</v>
      </c>
      <c r="B2" s="73">
        <v>62910182</v>
      </c>
      <c r="C2" s="9" t="s">
        <v>22</v>
      </c>
      <c r="D2" s="10">
        <f>'Control Consumo R - 2015'!Q2</f>
        <v>1824.8804777499997</v>
      </c>
      <c r="E2" s="10">
        <v>1707.8860999999999</v>
      </c>
      <c r="F2" s="10">
        <v>1752.8432</v>
      </c>
      <c r="G2" s="10">
        <v>1701.8154</v>
      </c>
      <c r="H2" s="10">
        <v>1705.3324</v>
      </c>
      <c r="I2" s="10">
        <v>1708.2763</v>
      </c>
      <c r="J2" s="10">
        <v>1687.6081000000004</v>
      </c>
      <c r="K2" s="10">
        <v>1960.201239</v>
      </c>
      <c r="L2" s="13">
        <f>1610.8491-168</f>
        <v>1442.8490999999999</v>
      </c>
      <c r="M2" s="10">
        <v>2002.2849000000001</v>
      </c>
      <c r="N2" s="10">
        <v>2006.2809</v>
      </c>
      <c r="O2" s="10">
        <v>2009.8028000000002</v>
      </c>
      <c r="P2" s="11">
        <f>2469.8805-458.55</f>
        <v>2011.3305000000003</v>
      </c>
      <c r="Q2" s="45">
        <f t="shared" ref="Q2:Q42" si="0">AVERAGE(E2:P2)</f>
        <v>1808.0425782500004</v>
      </c>
      <c r="R2" s="36">
        <f>SUM(E2:P2)</f>
        <v>21696.510939000003</v>
      </c>
    </row>
    <row r="3" spans="1:18" outlineLevel="2">
      <c r="A3" s="106"/>
      <c r="B3" s="80">
        <v>62910036</v>
      </c>
      <c r="C3" s="12" t="s">
        <v>21</v>
      </c>
      <c r="D3" s="13">
        <f>'Control Consumo R - 2015'!Q3+80</f>
        <v>144</v>
      </c>
      <c r="E3" s="13">
        <f>48+75</f>
        <v>123</v>
      </c>
      <c r="F3" s="13">
        <v>75</v>
      </c>
      <c r="G3" s="13">
        <f>120+75</f>
        <v>195</v>
      </c>
      <c r="H3" s="13">
        <v>70</v>
      </c>
      <c r="I3" s="13">
        <f>48+15</f>
        <v>63</v>
      </c>
      <c r="J3" s="13">
        <f>48+158.32+15</f>
        <v>221.32</v>
      </c>
      <c r="K3" s="13">
        <f>48+15</f>
        <v>63</v>
      </c>
      <c r="L3" s="13">
        <f>24+168+63</f>
        <v>255</v>
      </c>
      <c r="M3" s="13">
        <v>63</v>
      </c>
      <c r="N3" s="13">
        <v>63</v>
      </c>
      <c r="O3" s="13">
        <f>63+24</f>
        <v>87</v>
      </c>
      <c r="P3" s="14">
        <f>25.45161+458.55+62.5</f>
        <v>546.50161000000003</v>
      </c>
      <c r="Q3" s="39">
        <f t="shared" si="0"/>
        <v>152.0684675</v>
      </c>
      <c r="R3" s="40">
        <f t="shared" ref="R3:R47" si="1">SUM(E3:P3)</f>
        <v>1824.82161</v>
      </c>
    </row>
    <row r="4" spans="1:18" outlineLevel="2">
      <c r="A4" s="106"/>
      <c r="B4" s="72">
        <v>62910182</v>
      </c>
      <c r="C4" s="12" t="s">
        <v>25</v>
      </c>
      <c r="D4" s="13">
        <f>'Control Consumo R - 2015'!Q4</f>
        <v>1424.5604570000003</v>
      </c>
      <c r="E4" s="13">
        <v>1470.3799999999999</v>
      </c>
      <c r="F4" s="13">
        <v>1470.3799999999999</v>
      </c>
      <c r="G4" s="13">
        <v>1470.3799999999999</v>
      </c>
      <c r="H4" s="13">
        <v>1480.6716690000001</v>
      </c>
      <c r="I4" s="13">
        <v>1510.05387</v>
      </c>
      <c r="J4" s="13">
        <v>1524.39</v>
      </c>
      <c r="K4" s="13">
        <v>1714.0613960000003</v>
      </c>
      <c r="L4" s="13">
        <v>1724.03</v>
      </c>
      <c r="M4" s="13">
        <v>2039.1860000000001</v>
      </c>
      <c r="N4" s="13">
        <v>3274.5770959999995</v>
      </c>
      <c r="O4" s="13">
        <v>2991.04</v>
      </c>
      <c r="P4" s="14">
        <v>2991.04</v>
      </c>
      <c r="Q4" s="39">
        <f t="shared" ref="Q4:Q7" si="2">AVERAGE(E4:P4)</f>
        <v>1971.6825025833334</v>
      </c>
      <c r="R4" s="40">
        <f t="shared" ref="R4:R7" si="3">SUM(E4:P4)</f>
        <v>23660.190031000002</v>
      </c>
    </row>
    <row r="5" spans="1:18" outlineLevel="2">
      <c r="A5" s="106"/>
      <c r="B5" s="73">
        <v>62910182</v>
      </c>
      <c r="C5" s="12" t="s">
        <v>57</v>
      </c>
      <c r="D5" s="13"/>
      <c r="E5" s="13"/>
      <c r="F5" s="13"/>
      <c r="G5" s="13"/>
      <c r="H5" s="13"/>
      <c r="I5" s="13"/>
      <c r="J5" s="13">
        <v>24.738599999999998</v>
      </c>
      <c r="K5" s="13">
        <v>82.461999999999989</v>
      </c>
      <c r="L5" s="13">
        <v>82.461999999999989</v>
      </c>
      <c r="M5" s="13">
        <v>82.461999999999989</v>
      </c>
      <c r="N5" s="13">
        <v>82.461999999999989</v>
      </c>
      <c r="O5" s="13">
        <v>82.461999999999989</v>
      </c>
      <c r="P5" s="14">
        <v>82.461999999999989</v>
      </c>
      <c r="Q5" s="39">
        <f t="shared" si="2"/>
        <v>74.215799999999987</v>
      </c>
      <c r="R5" s="40">
        <f t="shared" si="3"/>
        <v>519.51059999999995</v>
      </c>
    </row>
    <row r="6" spans="1:18" outlineLevel="2">
      <c r="A6" s="106"/>
      <c r="B6" s="72">
        <v>62910182</v>
      </c>
      <c r="C6" s="12" t="s">
        <v>34</v>
      </c>
      <c r="D6" s="13">
        <f>'Control Consumo R - 2015'!Q6</f>
        <v>9.9999999999999995E-7</v>
      </c>
      <c r="E6" s="13">
        <v>1E-4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39">
        <f t="shared" si="2"/>
        <v>1E-4</v>
      </c>
      <c r="R6" s="40">
        <f t="shared" si="3"/>
        <v>1E-4</v>
      </c>
    </row>
    <row r="7" spans="1:18" outlineLevel="2">
      <c r="A7" s="107"/>
      <c r="B7" s="72">
        <v>62910182</v>
      </c>
      <c r="C7" s="12" t="s">
        <v>24</v>
      </c>
      <c r="D7" s="13">
        <v>0</v>
      </c>
      <c r="E7" s="13">
        <v>1.2999999999999999E-4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39">
        <f t="shared" si="2"/>
        <v>1.2999999999999999E-4</v>
      </c>
      <c r="R7" s="40">
        <f t="shared" si="3"/>
        <v>1.2999999999999999E-4</v>
      </c>
    </row>
    <row r="8" spans="1:18" ht="15" outlineLevel="1" thickBot="1">
      <c r="A8" s="16" t="s">
        <v>28</v>
      </c>
      <c r="B8" s="65">
        <v>62910182</v>
      </c>
      <c r="C8" s="17"/>
      <c r="D8" s="18">
        <f>'Control Consumo R - 2015'!Q8</f>
        <v>3393.4409357499999</v>
      </c>
      <c r="E8" s="18">
        <f>SUBTOTAL(9,E2:E7)</f>
        <v>3301.2663299999999</v>
      </c>
      <c r="F8" s="18">
        <f t="shared" ref="F8:P8" si="4">SUBTOTAL(9,F2:F7)</f>
        <v>3298.2231999999999</v>
      </c>
      <c r="G8" s="18">
        <f t="shared" si="4"/>
        <v>3367.1953999999996</v>
      </c>
      <c r="H8" s="18">
        <f t="shared" si="4"/>
        <v>3256.0040690000001</v>
      </c>
      <c r="I8" s="18">
        <f t="shared" si="4"/>
        <v>3281.3301700000002</v>
      </c>
      <c r="J8" s="18">
        <f t="shared" si="4"/>
        <v>3458.0567000000005</v>
      </c>
      <c r="K8" s="18">
        <f t="shared" si="4"/>
        <v>3819.724635</v>
      </c>
      <c r="L8" s="18">
        <f t="shared" si="4"/>
        <v>3504.3411000000001</v>
      </c>
      <c r="M8" s="18">
        <f t="shared" si="4"/>
        <v>4186.9328999999998</v>
      </c>
      <c r="N8" s="18">
        <f t="shared" si="4"/>
        <v>5426.3199959999984</v>
      </c>
      <c r="O8" s="18">
        <f t="shared" si="4"/>
        <v>5170.3047999999999</v>
      </c>
      <c r="P8" s="19">
        <f t="shared" si="4"/>
        <v>5631.3341099999998</v>
      </c>
      <c r="Q8" s="41">
        <f>SUM(Q2:Q7)</f>
        <v>4006.009578333334</v>
      </c>
      <c r="R8" s="46">
        <f t="shared" si="1"/>
        <v>47701.033409999989</v>
      </c>
    </row>
    <row r="9" spans="1:18" outlineLevel="2">
      <c r="A9" s="103" t="s">
        <v>29</v>
      </c>
      <c r="B9" s="66">
        <v>62910106</v>
      </c>
      <c r="C9" s="21" t="s">
        <v>11</v>
      </c>
      <c r="D9" s="10">
        <f>'Control Consumo R - 2015'!Q9</f>
        <v>46.248224999999998</v>
      </c>
      <c r="E9" s="10">
        <v>43</v>
      </c>
      <c r="F9" s="10">
        <v>43.106000000000002</v>
      </c>
      <c r="G9" s="10">
        <v>43</v>
      </c>
      <c r="H9" s="10">
        <v>43.084000000000003</v>
      </c>
      <c r="I9" s="10">
        <v>43</v>
      </c>
      <c r="J9" s="10">
        <v>44.252700000000004</v>
      </c>
      <c r="K9" s="10">
        <v>43</v>
      </c>
      <c r="L9" s="10">
        <v>43</v>
      </c>
      <c r="M9" s="10">
        <v>43.838000000000001</v>
      </c>
      <c r="N9" s="10">
        <v>43</v>
      </c>
      <c r="O9" s="10">
        <v>43.375999999999998</v>
      </c>
      <c r="P9" s="11">
        <v>43.021999999999998</v>
      </c>
      <c r="Q9" s="45">
        <f t="shared" si="0"/>
        <v>43.223225000000006</v>
      </c>
      <c r="R9" s="36">
        <f t="shared" si="1"/>
        <v>518.67870000000005</v>
      </c>
    </row>
    <row r="10" spans="1:18" outlineLevel="2">
      <c r="A10" s="104"/>
      <c r="B10" s="67">
        <v>62910104</v>
      </c>
      <c r="C10" s="12" t="s">
        <v>12</v>
      </c>
      <c r="D10" s="13">
        <f>'Control Consumo R - 2015'!Q10</f>
        <v>50.286308333333331</v>
      </c>
      <c r="E10" s="13">
        <v>48.856000000000002</v>
      </c>
      <c r="F10" s="13">
        <v>47.293999999999997</v>
      </c>
      <c r="G10" s="13">
        <v>47.088000000000001</v>
      </c>
      <c r="H10" s="13">
        <v>48.045999999999999</v>
      </c>
      <c r="I10" s="13">
        <v>49.253999999999998</v>
      </c>
      <c r="J10" s="13">
        <v>48.258000000000003</v>
      </c>
      <c r="K10" s="13">
        <v>47.253999999999998</v>
      </c>
      <c r="L10" s="13">
        <v>47.484000000000002</v>
      </c>
      <c r="M10" s="13">
        <v>49.274000000000001</v>
      </c>
      <c r="N10" s="13">
        <v>47.122</v>
      </c>
      <c r="O10" s="13">
        <v>47.811999999999998</v>
      </c>
      <c r="P10" s="14">
        <v>47.153999999999996</v>
      </c>
      <c r="Q10" s="39">
        <f t="shared" si="0"/>
        <v>47.907999999999994</v>
      </c>
      <c r="R10" s="40">
        <f t="shared" si="1"/>
        <v>574.89599999999996</v>
      </c>
    </row>
    <row r="11" spans="1:18" outlineLevel="2">
      <c r="A11" s="104"/>
      <c r="B11" s="67">
        <v>62910102</v>
      </c>
      <c r="C11" s="12" t="s">
        <v>13</v>
      </c>
      <c r="D11" s="13">
        <f>'Control Consumo R - 2015'!Q11</f>
        <v>78.873833333333337</v>
      </c>
      <c r="E11" s="13">
        <v>68.528300000000002</v>
      </c>
      <c r="F11" s="13">
        <v>68.08</v>
      </c>
      <c r="G11" s="13">
        <v>68.543300000000002</v>
      </c>
      <c r="H11" s="13">
        <v>68.694500000000005</v>
      </c>
      <c r="I11" s="13">
        <v>68.150999999999996</v>
      </c>
      <c r="J11" s="13">
        <v>68</v>
      </c>
      <c r="K11" s="88">
        <v>68</v>
      </c>
      <c r="L11" s="13">
        <v>68.577500000000001</v>
      </c>
      <c r="M11" s="13">
        <v>68.165999999999997</v>
      </c>
      <c r="N11" s="13">
        <v>68</v>
      </c>
      <c r="O11" s="13">
        <v>68</v>
      </c>
      <c r="P11" s="14">
        <v>68.821935999999994</v>
      </c>
      <c r="Q11" s="39">
        <f t="shared" si="0"/>
        <v>68.296878000000007</v>
      </c>
      <c r="R11" s="40">
        <f t="shared" si="1"/>
        <v>819.56253600000014</v>
      </c>
    </row>
    <row r="12" spans="1:18" outlineLevel="2">
      <c r="A12" s="104"/>
      <c r="B12" s="67">
        <v>62910105</v>
      </c>
      <c r="C12" s="12" t="s">
        <v>14</v>
      </c>
      <c r="D12" s="13">
        <f>'Control Consumo R - 2015'!Q12</f>
        <v>47.153666666666659</v>
      </c>
      <c r="E12" s="13">
        <v>45.997999999999998</v>
      </c>
      <c r="F12" s="13">
        <v>47.136000000000003</v>
      </c>
      <c r="G12" s="13">
        <v>51.963300000000004</v>
      </c>
      <c r="H12" s="13">
        <v>47.808</v>
      </c>
      <c r="I12" s="13">
        <v>45.555999999999997</v>
      </c>
      <c r="J12" s="13">
        <v>46.15</v>
      </c>
      <c r="K12" s="13">
        <v>47.5533</v>
      </c>
      <c r="L12" s="13">
        <v>53.512</v>
      </c>
      <c r="M12" s="13">
        <v>45.588000000000001</v>
      </c>
      <c r="N12" s="13">
        <v>45.108000000000004</v>
      </c>
      <c r="O12" s="13">
        <v>45.397999999999996</v>
      </c>
      <c r="P12" s="14">
        <v>48.582000000000001</v>
      </c>
      <c r="Q12" s="39">
        <f t="shared" si="0"/>
        <v>47.529383333333328</v>
      </c>
      <c r="R12" s="40">
        <f t="shared" si="1"/>
        <v>570.35259999999994</v>
      </c>
    </row>
    <row r="13" spans="1:18" outlineLevel="2">
      <c r="A13" s="104"/>
      <c r="B13" s="67">
        <v>62910103</v>
      </c>
      <c r="C13" s="12" t="s">
        <v>15</v>
      </c>
      <c r="D13" s="13">
        <f>'Control Consumo R - 2015'!Q13</f>
        <v>50.552308333333336</v>
      </c>
      <c r="E13" s="13">
        <v>43.268699999999995</v>
      </c>
      <c r="F13" s="13">
        <v>43.45</v>
      </c>
      <c r="G13" s="13">
        <v>43</v>
      </c>
      <c r="H13" s="13">
        <v>43.375999999999998</v>
      </c>
      <c r="I13" s="13">
        <v>44.003999999999998</v>
      </c>
      <c r="J13" s="13">
        <v>43.597999999999999</v>
      </c>
      <c r="K13" s="13">
        <v>43.368000000000002</v>
      </c>
      <c r="L13" s="13">
        <v>44.914000000000001</v>
      </c>
      <c r="M13" s="13">
        <v>44.884</v>
      </c>
      <c r="N13" s="13">
        <v>45.603999999999999</v>
      </c>
      <c r="O13" s="13">
        <v>49.680700000000002</v>
      </c>
      <c r="P13" s="14">
        <v>43.006</v>
      </c>
      <c r="Q13" s="39">
        <f t="shared" si="0"/>
        <v>44.346116666666667</v>
      </c>
      <c r="R13" s="40">
        <f t="shared" si="1"/>
        <v>532.15340000000003</v>
      </c>
    </row>
    <row r="14" spans="1:18" outlineLevel="2">
      <c r="A14" s="104"/>
      <c r="B14" s="67">
        <v>62910110</v>
      </c>
      <c r="C14" s="12" t="s">
        <v>16</v>
      </c>
      <c r="D14" s="13">
        <f>'Control Consumo R - 2015'!Q14</f>
        <v>45.656716666666675</v>
      </c>
      <c r="E14" s="13">
        <v>43</v>
      </c>
      <c r="F14" s="13">
        <v>43</v>
      </c>
      <c r="G14" s="13">
        <v>43</v>
      </c>
      <c r="H14" s="13">
        <v>43</v>
      </c>
      <c r="I14" s="13">
        <v>43.307299999999998</v>
      </c>
      <c r="J14" s="13">
        <v>43</v>
      </c>
      <c r="K14" s="13">
        <v>43</v>
      </c>
      <c r="L14" s="13">
        <v>43</v>
      </c>
      <c r="M14" s="13">
        <v>43</v>
      </c>
      <c r="N14" s="13">
        <v>43</v>
      </c>
      <c r="O14" s="13">
        <v>43</v>
      </c>
      <c r="P14" s="14">
        <v>43.741999999999997</v>
      </c>
      <c r="Q14" s="39">
        <f t="shared" si="0"/>
        <v>43.08744166666667</v>
      </c>
      <c r="R14" s="40">
        <f t="shared" si="1"/>
        <v>517.04930000000002</v>
      </c>
    </row>
    <row r="15" spans="1:18" outlineLevel="2">
      <c r="A15" s="104"/>
      <c r="B15" s="67">
        <v>62910107</v>
      </c>
      <c r="C15" s="12" t="s">
        <v>23</v>
      </c>
      <c r="D15" s="13">
        <f>'Control Consumo R - 2015'!Q15</f>
        <v>50.499808333333327</v>
      </c>
      <c r="E15" s="13">
        <v>41.116</v>
      </c>
      <c r="F15" s="13">
        <v>41</v>
      </c>
      <c r="G15" s="13">
        <v>41.442</v>
      </c>
      <c r="H15" s="13">
        <v>41.45</v>
      </c>
      <c r="I15" s="13">
        <v>41.438000000000002</v>
      </c>
      <c r="J15" s="13">
        <v>41.694000000000003</v>
      </c>
      <c r="K15" s="13">
        <v>41</v>
      </c>
      <c r="L15" s="13">
        <v>41.036000000000001</v>
      </c>
      <c r="M15" s="13">
        <v>41</v>
      </c>
      <c r="N15" s="13">
        <v>41</v>
      </c>
      <c r="O15" s="13">
        <v>41.088000000000001</v>
      </c>
      <c r="P15" s="14">
        <v>41.073999999999998</v>
      </c>
      <c r="Q15" s="39">
        <f t="shared" si="0"/>
        <v>41.194833333333335</v>
      </c>
      <c r="R15" s="40">
        <f t="shared" si="1"/>
        <v>494.33800000000002</v>
      </c>
    </row>
    <row r="16" spans="1:18" outlineLevel="2">
      <c r="A16" s="104"/>
      <c r="B16" s="67">
        <v>62910114</v>
      </c>
      <c r="C16" s="12" t="s">
        <v>17</v>
      </c>
      <c r="D16" s="13">
        <f>'Control Consumo R - 2015'!Q16</f>
        <v>52.535473333333329</v>
      </c>
      <c r="E16" s="13">
        <v>48.161300000000004</v>
      </c>
      <c r="F16" s="13">
        <v>48.152700000000003</v>
      </c>
      <c r="G16" s="13">
        <v>48.088000000000001</v>
      </c>
      <c r="H16" s="13">
        <v>47.507300000000001</v>
      </c>
      <c r="I16" s="13">
        <v>47</v>
      </c>
      <c r="J16" s="13">
        <v>47.094000000000001</v>
      </c>
      <c r="K16" s="13">
        <v>47.586000000000006</v>
      </c>
      <c r="L16" s="13">
        <v>47.12</v>
      </c>
      <c r="M16" s="13">
        <v>47</v>
      </c>
      <c r="N16" s="13">
        <v>47.038000000000004</v>
      </c>
      <c r="O16" s="13">
        <v>47</v>
      </c>
      <c r="P16" s="14">
        <v>47.211300000000001</v>
      </c>
      <c r="Q16" s="39">
        <f t="shared" ref="Q16" si="5">AVERAGE(E16:P16)</f>
        <v>47.413216666666671</v>
      </c>
      <c r="R16" s="40">
        <f t="shared" ref="R16" si="6">SUM(E16:P16)</f>
        <v>568.95860000000005</v>
      </c>
    </row>
    <row r="17" spans="1:18" outlineLevel="2">
      <c r="A17" s="104"/>
      <c r="B17" s="67">
        <v>62910236</v>
      </c>
      <c r="C17" s="12" t="s">
        <v>43</v>
      </c>
      <c r="D17" s="13">
        <f>'Control Consumo R - 2015'!Q17</f>
        <v>48.997475000000001</v>
      </c>
      <c r="E17" s="13">
        <v>47.491999999999997</v>
      </c>
      <c r="F17" s="13">
        <v>48.033999999999999</v>
      </c>
      <c r="G17" s="13">
        <v>47.916000000000004</v>
      </c>
      <c r="H17" s="13">
        <v>48.756</v>
      </c>
      <c r="I17" s="13">
        <v>49.71</v>
      </c>
      <c r="J17" s="13">
        <v>48.8</v>
      </c>
      <c r="K17" s="13">
        <v>48.056000000000004</v>
      </c>
      <c r="L17" s="13">
        <v>48.838000000000001</v>
      </c>
      <c r="M17" s="13">
        <v>49.530699999999996</v>
      </c>
      <c r="N17" s="13">
        <v>49.934699999999999</v>
      </c>
      <c r="O17" s="13">
        <v>48.857799999999997</v>
      </c>
      <c r="P17" s="14">
        <v>50.062000000000005</v>
      </c>
      <c r="Q17" s="39">
        <f t="shared" si="0"/>
        <v>48.832266666666669</v>
      </c>
      <c r="R17" s="40">
        <f t="shared" si="1"/>
        <v>585.98720000000003</v>
      </c>
    </row>
    <row r="18" spans="1:18" outlineLevel="2">
      <c r="A18" s="104"/>
      <c r="B18" s="67">
        <v>62910239</v>
      </c>
      <c r="C18" s="12" t="s">
        <v>54</v>
      </c>
      <c r="D18" s="13">
        <f>'Control Consumo R - 2015'!Q18</f>
        <v>76.415518874999975</v>
      </c>
      <c r="E18" s="13">
        <v>73.795999999999992</v>
      </c>
      <c r="F18" s="13">
        <v>73.207999999999998</v>
      </c>
      <c r="G18" s="13">
        <v>77.953300000000013</v>
      </c>
      <c r="H18" s="13">
        <v>73.876000000000005</v>
      </c>
      <c r="I18" s="13">
        <v>75.181000000000012</v>
      </c>
      <c r="J18" s="13">
        <v>74.5548</v>
      </c>
      <c r="K18" s="13">
        <v>75.013000000000005</v>
      </c>
      <c r="L18" s="13">
        <v>74.200999999999993</v>
      </c>
      <c r="M18" s="13">
        <v>76.448999999999998</v>
      </c>
      <c r="N18" s="13">
        <v>75.378</v>
      </c>
      <c r="O18" s="13">
        <v>85.390999999999991</v>
      </c>
      <c r="P18" s="14">
        <v>80.651128999999997</v>
      </c>
      <c r="Q18" s="39">
        <f t="shared" si="0"/>
        <v>76.304352416666674</v>
      </c>
      <c r="R18" s="40">
        <f t="shared" si="1"/>
        <v>915.65222900000003</v>
      </c>
    </row>
    <row r="19" spans="1:18" ht="15" outlineLevel="1" thickBot="1">
      <c r="A19" s="22" t="s">
        <v>30</v>
      </c>
      <c r="B19" s="74"/>
      <c r="C19" s="17"/>
      <c r="D19" s="18">
        <f>'Control Consumo R - 2015'!Q19</f>
        <v>547.21933387499996</v>
      </c>
      <c r="E19" s="18">
        <f t="shared" ref="E19:P19" si="7">SUBTOTAL(9,E9:E18)</f>
        <v>503.21629999999993</v>
      </c>
      <c r="F19" s="18">
        <f t="shared" si="7"/>
        <v>502.46069999999997</v>
      </c>
      <c r="G19" s="18">
        <f t="shared" si="7"/>
        <v>511.99390000000005</v>
      </c>
      <c r="H19" s="18">
        <f t="shared" si="7"/>
        <v>505.59780000000001</v>
      </c>
      <c r="I19" s="18">
        <f t="shared" si="7"/>
        <v>506.60129999999992</v>
      </c>
      <c r="J19" s="18">
        <f t="shared" si="7"/>
        <v>505.40150000000006</v>
      </c>
      <c r="K19" s="18">
        <f t="shared" si="7"/>
        <v>503.83029999999997</v>
      </c>
      <c r="L19" s="18">
        <f t="shared" si="7"/>
        <v>511.6825</v>
      </c>
      <c r="M19" s="18">
        <f t="shared" si="7"/>
        <v>508.72970000000004</v>
      </c>
      <c r="N19" s="18">
        <f t="shared" si="7"/>
        <v>505.18470000000002</v>
      </c>
      <c r="O19" s="18">
        <f t="shared" si="7"/>
        <v>519.60350000000005</v>
      </c>
      <c r="P19" s="19">
        <f t="shared" si="7"/>
        <v>513.32636500000001</v>
      </c>
      <c r="Q19" s="41">
        <f>SUM(Q9:Q18)</f>
        <v>508.13571375000004</v>
      </c>
      <c r="R19" s="46">
        <f t="shared" si="1"/>
        <v>6097.628565</v>
      </c>
    </row>
    <row r="20" spans="1:18" outlineLevel="2">
      <c r="A20" s="105" t="s">
        <v>31</v>
      </c>
      <c r="B20" s="73">
        <v>62910164</v>
      </c>
      <c r="C20" s="9" t="s">
        <v>1</v>
      </c>
      <c r="D20" s="10">
        <f>'Control Consumo R - 2015'!Q20</f>
        <v>62.741903583333333</v>
      </c>
      <c r="E20" s="10">
        <v>57</v>
      </c>
      <c r="F20" s="10">
        <v>57.171300000000002</v>
      </c>
      <c r="G20" s="10">
        <v>61.190700000000007</v>
      </c>
      <c r="H20" s="10">
        <v>57</v>
      </c>
      <c r="I20" s="10">
        <v>58.070599999999999</v>
      </c>
      <c r="J20" s="10">
        <v>57</v>
      </c>
      <c r="K20" s="10">
        <v>57</v>
      </c>
      <c r="L20" s="10">
        <v>57</v>
      </c>
      <c r="M20" s="10">
        <v>57.04</v>
      </c>
      <c r="N20" s="10">
        <v>57.04</v>
      </c>
      <c r="O20" s="10">
        <v>57</v>
      </c>
      <c r="P20" s="10">
        <v>58.627299999999998</v>
      </c>
      <c r="Q20" s="45">
        <f t="shared" si="0"/>
        <v>57.594991666666665</v>
      </c>
      <c r="R20" s="36">
        <f t="shared" si="1"/>
        <v>691.13990000000001</v>
      </c>
    </row>
    <row r="21" spans="1:18" outlineLevel="2">
      <c r="A21" s="106"/>
      <c r="B21" s="72">
        <v>62910163</v>
      </c>
      <c r="C21" s="12" t="s">
        <v>2</v>
      </c>
      <c r="D21" s="13">
        <f>'Control Consumo R - 2015'!Q21</f>
        <v>70.383156250000013</v>
      </c>
      <c r="E21" s="13">
        <v>68.27</v>
      </c>
      <c r="F21" s="13">
        <v>68.383300000000006</v>
      </c>
      <c r="G21" s="13">
        <v>70.108699999999999</v>
      </c>
      <c r="H21" s="13">
        <v>68</v>
      </c>
      <c r="I21" s="13">
        <v>68.808300000000003</v>
      </c>
      <c r="J21" s="13">
        <v>69.130499999999998</v>
      </c>
      <c r="K21" s="13">
        <v>68.64070000000001</v>
      </c>
      <c r="L21" s="13">
        <v>68</v>
      </c>
      <c r="M21" s="13">
        <v>68.151300000000006</v>
      </c>
      <c r="N21" s="13">
        <v>68.151300000000006</v>
      </c>
      <c r="O21" s="13">
        <v>68.704700000000003</v>
      </c>
      <c r="P21" s="14">
        <v>68.150700000000001</v>
      </c>
      <c r="Q21" s="39">
        <f t="shared" si="0"/>
        <v>68.541624999999996</v>
      </c>
      <c r="R21" s="40">
        <f t="shared" si="1"/>
        <v>822.49950000000001</v>
      </c>
    </row>
    <row r="22" spans="1:18" outlineLevel="2">
      <c r="A22" s="106"/>
      <c r="B22" s="72">
        <v>62910165</v>
      </c>
      <c r="C22" s="12" t="s">
        <v>3</v>
      </c>
      <c r="D22" s="13">
        <f>'Control Consumo R - 2015'!Q22</f>
        <v>61.420974999999977</v>
      </c>
      <c r="E22" s="13">
        <v>57.637990000000002</v>
      </c>
      <c r="F22" s="13">
        <v>57.416269999999997</v>
      </c>
      <c r="G22" s="13">
        <v>56.323999999999998</v>
      </c>
      <c r="H22" s="13">
        <v>57.033969999999997</v>
      </c>
      <c r="I22" s="13">
        <v>56.507989999999992</v>
      </c>
      <c r="J22" s="13">
        <v>56.357979999999998</v>
      </c>
      <c r="K22" s="13">
        <v>56.739280000000001</v>
      </c>
      <c r="L22" s="13">
        <v>57.677210000000002</v>
      </c>
      <c r="M22" s="13">
        <v>58.194000000000003</v>
      </c>
      <c r="N22" s="13">
        <v>56.03</v>
      </c>
      <c r="O22" s="13">
        <v>56.268000000000001</v>
      </c>
      <c r="P22" s="14">
        <v>58.087400000000002</v>
      </c>
      <c r="Q22" s="39">
        <f t="shared" si="0"/>
        <v>57.022840833333333</v>
      </c>
      <c r="R22" s="40">
        <f t="shared" si="1"/>
        <v>684.27409</v>
      </c>
    </row>
    <row r="23" spans="1:18" outlineLevel="2">
      <c r="A23" s="106"/>
      <c r="B23" s="72">
        <v>62910169</v>
      </c>
      <c r="C23" s="12" t="s">
        <v>4</v>
      </c>
      <c r="D23" s="13">
        <f>'Control Consumo R - 2015'!Q23</f>
        <v>62.192933333333322</v>
      </c>
      <c r="E23" s="13">
        <v>58.118000000000002</v>
      </c>
      <c r="F23" s="13">
        <v>58.11</v>
      </c>
      <c r="G23" s="13">
        <v>58.335999999999999</v>
      </c>
      <c r="H23" s="13">
        <v>59.658000000000001</v>
      </c>
      <c r="I23" s="13">
        <v>58.537999999999997</v>
      </c>
      <c r="J23" s="13">
        <v>58.911299999999997</v>
      </c>
      <c r="K23" s="13">
        <v>58</v>
      </c>
      <c r="L23" s="13">
        <v>58.645161000000002</v>
      </c>
      <c r="M23" s="13">
        <v>60.376799999999996</v>
      </c>
      <c r="N23" s="13">
        <v>59.152500000000003</v>
      </c>
      <c r="O23" s="13">
        <v>61.3202</v>
      </c>
      <c r="P23" s="14">
        <v>59.304099999999998</v>
      </c>
      <c r="Q23" s="39">
        <f t="shared" si="0"/>
        <v>59.039171750000001</v>
      </c>
      <c r="R23" s="40">
        <f t="shared" si="1"/>
        <v>708.47006099999999</v>
      </c>
    </row>
    <row r="24" spans="1:18" outlineLevel="2">
      <c r="A24" s="106"/>
      <c r="B24" s="72">
        <v>62910170</v>
      </c>
      <c r="C24" s="12" t="s">
        <v>5</v>
      </c>
      <c r="D24" s="13">
        <f>'Control Consumo R - 2015'!Q24</f>
        <v>60.475724166666659</v>
      </c>
      <c r="E24" s="13">
        <v>56.19</v>
      </c>
      <c r="F24" s="13">
        <v>56.206000000000003</v>
      </c>
      <c r="G24" s="13">
        <v>56.244700000000002</v>
      </c>
      <c r="H24" s="13">
        <v>56.224000000000004</v>
      </c>
      <c r="I24" s="13">
        <v>57.142600000000002</v>
      </c>
      <c r="J24" s="13">
        <v>59.373699999999999</v>
      </c>
      <c r="K24" s="13">
        <v>56.275999999999996</v>
      </c>
      <c r="L24" s="13">
        <v>56</v>
      </c>
      <c r="M24" s="13">
        <v>56.338000000000001</v>
      </c>
      <c r="N24" s="13">
        <v>56.043999999999997</v>
      </c>
      <c r="O24" s="13">
        <v>56.083999999999996</v>
      </c>
      <c r="P24" s="14">
        <v>56.589199999999998</v>
      </c>
      <c r="Q24" s="39">
        <f t="shared" si="0"/>
        <v>56.559350000000002</v>
      </c>
      <c r="R24" s="40">
        <f t="shared" si="1"/>
        <v>678.71220000000005</v>
      </c>
    </row>
    <row r="25" spans="1:18" outlineLevel="2">
      <c r="A25" s="106"/>
      <c r="B25" s="72">
        <v>62910178</v>
      </c>
      <c r="C25" s="12" t="s">
        <v>6</v>
      </c>
      <c r="D25" s="13">
        <f>'Control Consumo R - 2015'!Q25</f>
        <v>71.340701666666661</v>
      </c>
      <c r="E25" s="13">
        <v>60.080599999999997</v>
      </c>
      <c r="F25" s="13">
        <v>62.864000000000004</v>
      </c>
      <c r="G25" s="13">
        <v>66.201700000000002</v>
      </c>
      <c r="H25" s="13">
        <v>60.599999999999994</v>
      </c>
      <c r="I25" s="13">
        <v>58.375999999999998</v>
      </c>
      <c r="J25" s="13">
        <v>58.494</v>
      </c>
      <c r="K25" s="13">
        <v>60.653300000000002</v>
      </c>
      <c r="L25" s="13">
        <v>58.695999999999998</v>
      </c>
      <c r="M25" s="13">
        <v>60.417700000000004</v>
      </c>
      <c r="N25" s="13">
        <v>58.881999999999998</v>
      </c>
      <c r="O25" s="13">
        <v>59.268000000000001</v>
      </c>
      <c r="P25" s="14">
        <v>60.507999999999996</v>
      </c>
      <c r="Q25" s="39">
        <f t="shared" si="0"/>
        <v>60.420108333333332</v>
      </c>
      <c r="R25" s="40">
        <f t="shared" si="1"/>
        <v>725.04129999999998</v>
      </c>
    </row>
    <row r="26" spans="1:18" outlineLevel="2">
      <c r="A26" s="106"/>
      <c r="B26" s="72">
        <v>62910179</v>
      </c>
      <c r="C26" s="12" t="s">
        <v>7</v>
      </c>
      <c r="D26" s="13">
        <f>'Control Consumo R - 2015'!Q26</f>
        <v>61.189470416666659</v>
      </c>
      <c r="E26" s="13">
        <v>56.531999999999996</v>
      </c>
      <c r="F26" s="13">
        <v>56.537999999999997</v>
      </c>
      <c r="G26" s="13">
        <v>63.632899999999999</v>
      </c>
      <c r="H26" s="13">
        <v>57.730000000000004</v>
      </c>
      <c r="I26" s="13">
        <v>56.67</v>
      </c>
      <c r="J26" s="13">
        <v>58.283999999999999</v>
      </c>
      <c r="K26" s="13">
        <v>57.558</v>
      </c>
      <c r="L26" s="13">
        <v>57.253999999999998</v>
      </c>
      <c r="M26" s="13">
        <v>57.817999999999998</v>
      </c>
      <c r="N26" s="13">
        <v>56.879300000000001</v>
      </c>
      <c r="O26" s="13">
        <v>56.814</v>
      </c>
      <c r="P26" s="14">
        <v>57.333999999999996</v>
      </c>
      <c r="Q26" s="39">
        <f t="shared" si="0"/>
        <v>57.753683333333335</v>
      </c>
      <c r="R26" s="40">
        <f t="shared" si="1"/>
        <v>693.04420000000005</v>
      </c>
    </row>
    <row r="27" spans="1:18" outlineLevel="2">
      <c r="A27" s="106"/>
      <c r="B27" s="72">
        <v>62910232</v>
      </c>
      <c r="C27" s="12" t="s">
        <v>8</v>
      </c>
      <c r="D27" s="13">
        <f>'Control Consumo R - 2015'!Q27</f>
        <v>61.47505833333333</v>
      </c>
      <c r="E27" s="13">
        <v>57.482599999999998</v>
      </c>
      <c r="F27" s="13">
        <v>57</v>
      </c>
      <c r="G27" s="13">
        <v>57</v>
      </c>
      <c r="H27" s="13">
        <v>57.04</v>
      </c>
      <c r="I27" s="13">
        <v>58.120000000000005</v>
      </c>
      <c r="J27" s="13">
        <v>57</v>
      </c>
      <c r="K27" s="13">
        <v>57.700699999999998</v>
      </c>
      <c r="L27" s="13">
        <v>57.366299999999995</v>
      </c>
      <c r="M27" s="13">
        <v>57.150999999999996</v>
      </c>
      <c r="N27" s="13">
        <v>57.303699999999999</v>
      </c>
      <c r="O27" s="13">
        <v>57</v>
      </c>
      <c r="P27" s="14">
        <v>57.796799999999998</v>
      </c>
      <c r="Q27" s="39">
        <f t="shared" si="0"/>
        <v>57.330091666666668</v>
      </c>
      <c r="R27" s="40">
        <f t="shared" si="1"/>
        <v>687.96109999999999</v>
      </c>
    </row>
    <row r="28" spans="1:18" outlineLevel="2">
      <c r="A28" s="106"/>
      <c r="B28" s="72">
        <v>62910233</v>
      </c>
      <c r="C28" s="12" t="s">
        <v>9</v>
      </c>
      <c r="D28" s="13">
        <f>'Control Consumo R - 2015'!Q28</f>
        <v>61.228791666666666</v>
      </c>
      <c r="E28" s="13">
        <v>57.28</v>
      </c>
      <c r="F28" s="13">
        <v>57</v>
      </c>
      <c r="G28" s="13">
        <v>57</v>
      </c>
      <c r="H28" s="13">
        <v>57.962400000000002</v>
      </c>
      <c r="I28" s="13">
        <v>57.733599999999996</v>
      </c>
      <c r="J28" s="13">
        <v>58.098700000000001</v>
      </c>
      <c r="K28" s="13">
        <v>58.2684</v>
      </c>
      <c r="L28" s="13">
        <v>57.102000000000004</v>
      </c>
      <c r="M28" s="13">
        <v>57.025999999999996</v>
      </c>
      <c r="N28" s="13">
        <v>57.150999999999996</v>
      </c>
      <c r="O28" s="13">
        <v>57.302499999999995</v>
      </c>
      <c r="P28" s="14">
        <v>57</v>
      </c>
      <c r="Q28" s="39">
        <f t="shared" si="0"/>
        <v>57.410383333333328</v>
      </c>
      <c r="R28" s="40">
        <f t="shared" si="1"/>
        <v>688.92459999999994</v>
      </c>
    </row>
    <row r="29" spans="1:18" outlineLevel="2">
      <c r="A29" s="106"/>
      <c r="B29" s="72">
        <v>62910119</v>
      </c>
      <c r="C29" s="12" t="s">
        <v>10</v>
      </c>
      <c r="D29" s="13">
        <f>'Control Consumo R - 2015'!Q29</f>
        <v>57.707291666666663</v>
      </c>
      <c r="E29" s="13">
        <v>54.938000000000002</v>
      </c>
      <c r="F29" s="13">
        <v>56.41</v>
      </c>
      <c r="G29" s="13">
        <v>57.3</v>
      </c>
      <c r="H29" s="13">
        <v>55.396000000000001</v>
      </c>
      <c r="I29" s="13">
        <v>54.322000000000003</v>
      </c>
      <c r="J29" s="13">
        <v>54.125999999999998</v>
      </c>
      <c r="K29" s="13">
        <v>55.002700000000004</v>
      </c>
      <c r="L29" s="13">
        <v>55.287999999999997</v>
      </c>
      <c r="M29" s="13">
        <v>55.2</v>
      </c>
      <c r="N29" s="13">
        <v>55.84</v>
      </c>
      <c r="O29" s="13">
        <v>57.968000000000004</v>
      </c>
      <c r="P29" s="14">
        <v>57.612000000000002</v>
      </c>
      <c r="Q29" s="39">
        <f t="shared" si="0"/>
        <v>55.783558333333325</v>
      </c>
      <c r="R29" s="40">
        <f t="shared" si="1"/>
        <v>669.40269999999987</v>
      </c>
    </row>
    <row r="30" spans="1:18" outlineLevel="2">
      <c r="A30" s="106"/>
      <c r="B30" s="72">
        <v>62910235</v>
      </c>
      <c r="C30" s="12" t="s">
        <v>37</v>
      </c>
      <c r="D30" s="13">
        <f>'Control Consumo R - 2015'!Q30</f>
        <v>60.818174999999997</v>
      </c>
      <c r="E30" s="13">
        <v>58.351320000000001</v>
      </c>
      <c r="F30" s="13">
        <v>57.983180000000004</v>
      </c>
      <c r="G30" s="13">
        <v>58.955269999999999</v>
      </c>
      <c r="H30" s="79">
        <v>59.285870000000003</v>
      </c>
      <c r="I30" s="13">
        <v>58.409089999999999</v>
      </c>
      <c r="J30" s="13">
        <v>58.11092</v>
      </c>
      <c r="K30" s="13">
        <v>59.40945</v>
      </c>
      <c r="L30" s="13">
        <v>60.851129999999998</v>
      </c>
      <c r="M30" s="13">
        <v>59.899709999999999</v>
      </c>
      <c r="N30" s="13">
        <v>66.103319999999997</v>
      </c>
      <c r="O30" s="13">
        <v>60.603189999999998</v>
      </c>
      <c r="P30" s="14">
        <v>61.051810000000003</v>
      </c>
      <c r="Q30" s="39">
        <f t="shared" si="0"/>
        <v>59.917855000000003</v>
      </c>
      <c r="R30" s="40">
        <f t="shared" si="1"/>
        <v>719.01426000000004</v>
      </c>
    </row>
    <row r="31" spans="1:18" outlineLevel="2">
      <c r="A31" s="106"/>
      <c r="B31" s="72">
        <v>62910340</v>
      </c>
      <c r="C31" s="12" t="s">
        <v>44</v>
      </c>
      <c r="D31" s="13">
        <f>'Control Consumo R - 2015'!Q31</f>
        <v>53.743596833333335</v>
      </c>
      <c r="E31" s="13">
        <v>53.776899999999998</v>
      </c>
      <c r="F31" s="13">
        <v>51.341000000000001</v>
      </c>
      <c r="G31" s="13">
        <v>56.401081000000005</v>
      </c>
      <c r="H31" s="13">
        <v>56.019973999999998</v>
      </c>
      <c r="I31" s="13">
        <v>57.482556000000002</v>
      </c>
      <c r="J31" s="13">
        <v>51.27</v>
      </c>
      <c r="K31" s="13">
        <v>56.165253999999997</v>
      </c>
      <c r="L31" s="13">
        <v>51.847299999999997</v>
      </c>
      <c r="M31" s="13">
        <v>51</v>
      </c>
      <c r="N31" s="13">
        <v>51</v>
      </c>
      <c r="O31" s="13">
        <v>51</v>
      </c>
      <c r="P31" s="14">
        <v>58.266484000000005</v>
      </c>
      <c r="Q31" s="39">
        <f t="shared" si="0"/>
        <v>53.797545750000005</v>
      </c>
      <c r="R31" s="40">
        <f t="shared" si="1"/>
        <v>645.57054900000003</v>
      </c>
    </row>
    <row r="32" spans="1:18" outlineLevel="2">
      <c r="A32" s="106"/>
      <c r="B32" s="75">
        <v>62910238</v>
      </c>
      <c r="C32" s="3" t="s">
        <v>48</v>
      </c>
      <c r="D32" s="13">
        <f>'Control Consumo R - 2015'!Q32</f>
        <v>61.903941666666661</v>
      </c>
      <c r="E32" s="76">
        <v>55.691700000000004</v>
      </c>
      <c r="F32" s="76">
        <v>55.909700000000001</v>
      </c>
      <c r="G32" s="76">
        <v>56.003100000000003</v>
      </c>
      <c r="H32" s="76">
        <v>55.557200000000002</v>
      </c>
      <c r="I32" s="76">
        <v>55.628399999999999</v>
      </c>
      <c r="J32" s="76">
        <v>56.653100000000002</v>
      </c>
      <c r="K32" s="76">
        <v>55.219099999999997</v>
      </c>
      <c r="L32" s="76">
        <v>55.261099999999999</v>
      </c>
      <c r="M32" s="13">
        <v>56.091099999999997</v>
      </c>
      <c r="N32" s="76">
        <v>56.528400000000005</v>
      </c>
      <c r="O32" s="76">
        <v>55.901700000000005</v>
      </c>
      <c r="P32" s="77">
        <v>58.209699999999998</v>
      </c>
      <c r="Q32" s="39">
        <f t="shared" si="0"/>
        <v>56.054525000000005</v>
      </c>
      <c r="R32" s="40">
        <f t="shared" si="1"/>
        <v>672.65430000000003</v>
      </c>
    </row>
    <row r="33" spans="1:19" outlineLevel="2">
      <c r="A33" s="106"/>
      <c r="B33" s="75">
        <v>62910342</v>
      </c>
      <c r="C33" s="3" t="s">
        <v>51</v>
      </c>
      <c r="D33" s="13">
        <f>'Control Consumo R - 2015'!Q33</f>
        <v>71.711233333333325</v>
      </c>
      <c r="E33" s="76">
        <v>71</v>
      </c>
      <c r="F33" s="76">
        <v>71</v>
      </c>
      <c r="G33" s="76">
        <v>71.183199999999999</v>
      </c>
      <c r="H33" s="76">
        <v>71.412700000000001</v>
      </c>
      <c r="I33" s="76">
        <v>71</v>
      </c>
      <c r="J33" s="76">
        <v>71</v>
      </c>
      <c r="K33" s="76">
        <v>71</v>
      </c>
      <c r="L33" s="76">
        <v>73.597300000000004</v>
      </c>
      <c r="M33" s="76">
        <v>71.37</v>
      </c>
      <c r="N33" s="76">
        <v>71</v>
      </c>
      <c r="O33" s="76">
        <v>71.255300000000005</v>
      </c>
      <c r="P33" s="77">
        <v>71.305999999999997</v>
      </c>
      <c r="Q33" s="39">
        <f t="shared" si="0"/>
        <v>71.343708333333339</v>
      </c>
      <c r="R33" s="40">
        <f t="shared" si="1"/>
        <v>856.12450000000013</v>
      </c>
    </row>
    <row r="34" spans="1:19" outlineLevel="2">
      <c r="A34" s="107"/>
      <c r="B34" s="75">
        <v>62910344</v>
      </c>
      <c r="C34" s="3" t="s">
        <v>56</v>
      </c>
      <c r="D34" s="13">
        <f>'Control Consumo R - 2015'!Q34</f>
        <v>59.774154666666668</v>
      </c>
      <c r="E34" s="76">
        <v>74.931944999999999</v>
      </c>
      <c r="F34" s="76">
        <v>73.7834</v>
      </c>
      <c r="G34" s="76">
        <v>73.421300000000002</v>
      </c>
      <c r="H34" s="76">
        <v>73.03</v>
      </c>
      <c r="I34" s="76">
        <v>73.03</v>
      </c>
      <c r="J34" s="76">
        <v>74.044000000000011</v>
      </c>
      <c r="K34" s="76">
        <v>73.441900000000004</v>
      </c>
      <c r="L34" s="76">
        <v>71.976699999999994</v>
      </c>
      <c r="M34" s="76">
        <v>73.03</v>
      </c>
      <c r="N34" s="76">
        <v>73.242699999999999</v>
      </c>
      <c r="O34" s="76">
        <v>74.524000000000001</v>
      </c>
      <c r="P34" s="77">
        <v>73.225300000000004</v>
      </c>
      <c r="Q34" s="39">
        <f t="shared" si="0"/>
        <v>73.473437083333337</v>
      </c>
      <c r="R34" s="40">
        <f t="shared" si="1"/>
        <v>881.68124499999999</v>
      </c>
    </row>
    <row r="35" spans="1:19" outlineLevel="2">
      <c r="A35" s="92"/>
      <c r="B35" s="75"/>
      <c r="C35" s="3" t="s">
        <v>60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>
        <v>53.732397000000006</v>
      </c>
      <c r="O35" s="76">
        <v>57</v>
      </c>
      <c r="P35" s="77">
        <v>57.871300000000005</v>
      </c>
      <c r="Q35" s="39">
        <f t="shared" ref="Q35:Q36" si="8">AVERAGE(E35:P35)</f>
        <v>56.201232333333337</v>
      </c>
      <c r="R35" s="40">
        <f t="shared" ref="R35:R36" si="9">SUM(E35:P35)</f>
        <v>168.60369700000001</v>
      </c>
    </row>
    <row r="36" spans="1:19" outlineLevel="2">
      <c r="A36" s="92"/>
      <c r="B36" s="75"/>
      <c r="C36" s="3" t="s">
        <v>61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>
        <v>56.152065999999991</v>
      </c>
      <c r="P36" s="77">
        <v>59.981400000000001</v>
      </c>
      <c r="Q36" s="39">
        <f t="shared" si="8"/>
        <v>58.066732999999999</v>
      </c>
      <c r="R36" s="40">
        <f t="shared" si="9"/>
        <v>116.133466</v>
      </c>
    </row>
    <row r="37" spans="1:19" ht="15" outlineLevel="2" thickBot="1">
      <c r="A37" s="22" t="s">
        <v>32</v>
      </c>
      <c r="B37" s="68"/>
      <c r="C37" s="17"/>
      <c r="D37" s="18">
        <f t="shared" ref="D37:M37" si="10">SUBTOTAL(9,D20:D36)</f>
        <v>938.10710758333323</v>
      </c>
      <c r="E37" s="18">
        <f t="shared" si="10"/>
        <v>897.28105499999992</v>
      </c>
      <c r="F37" s="18">
        <f t="shared" si="10"/>
        <v>897.11615000000006</v>
      </c>
      <c r="G37" s="18">
        <f t="shared" si="10"/>
        <v>919.30265099999997</v>
      </c>
      <c r="H37" s="18">
        <f t="shared" si="10"/>
        <v>901.95011399999999</v>
      </c>
      <c r="I37" s="18">
        <f t="shared" si="10"/>
        <v>899.83913600000005</v>
      </c>
      <c r="J37" s="18">
        <f t="shared" si="10"/>
        <v>897.85419999999988</v>
      </c>
      <c r="K37" s="18">
        <f t="shared" si="10"/>
        <v>901.07478400000002</v>
      </c>
      <c r="L37" s="18">
        <f t="shared" si="10"/>
        <v>896.56220100000019</v>
      </c>
      <c r="M37" s="18">
        <f t="shared" si="10"/>
        <v>899.10361000000012</v>
      </c>
      <c r="N37" s="18">
        <f>SUBTOTAL(9,N20:N36)</f>
        <v>954.08061699999996</v>
      </c>
      <c r="O37" s="18">
        <f t="shared" ref="O37:P37" si="11">SUBTOTAL(9,O20:O36)</f>
        <v>1014.165656</v>
      </c>
      <c r="P37" s="18">
        <f t="shared" si="11"/>
        <v>1030.9214939999999</v>
      </c>
      <c r="Q37" s="41">
        <f>SUM(Q20:Q36)</f>
        <v>1016.31084075</v>
      </c>
      <c r="R37" s="46">
        <f t="shared" si="1"/>
        <v>11109.251668000001</v>
      </c>
      <c r="S37" s="93"/>
    </row>
    <row r="38" spans="1:19" outlineLevel="1">
      <c r="A38" s="103" t="s">
        <v>18</v>
      </c>
      <c r="B38" s="64">
        <v>62910182</v>
      </c>
      <c r="C38" s="12" t="s">
        <v>19</v>
      </c>
      <c r="D38" s="13">
        <f>'Control Consumo R - 2015'!Q36</f>
        <v>58.278983333333336</v>
      </c>
      <c r="E38" s="13">
        <v>52.892000000000003</v>
      </c>
      <c r="F38" s="13">
        <v>52.454000000000001</v>
      </c>
      <c r="G38" s="13">
        <v>55.295999999999999</v>
      </c>
      <c r="H38" s="13">
        <v>60.309400000000004</v>
      </c>
      <c r="I38" s="13">
        <v>52.14</v>
      </c>
      <c r="J38" s="13">
        <v>52.233999999999995</v>
      </c>
      <c r="K38" s="13">
        <v>52.384</v>
      </c>
      <c r="L38" s="13">
        <v>53.777000000000001</v>
      </c>
      <c r="M38" s="13">
        <v>52.917999999999999</v>
      </c>
      <c r="N38" s="13">
        <v>61.125999999999998</v>
      </c>
      <c r="O38" s="13">
        <v>43</v>
      </c>
      <c r="P38" s="14">
        <v>49.898757999999994</v>
      </c>
      <c r="Q38" s="39">
        <f t="shared" si="0"/>
        <v>53.202429833333333</v>
      </c>
      <c r="R38" s="40">
        <f t="shared" si="1"/>
        <v>638.42915800000003</v>
      </c>
    </row>
    <row r="39" spans="1:19" outlineLevel="2">
      <c r="A39" s="104"/>
      <c r="B39" s="67">
        <v>62910182</v>
      </c>
      <c r="C39" s="12" t="s">
        <v>20</v>
      </c>
      <c r="D39" s="13">
        <f>'Control Consumo R - 2015'!Q37</f>
        <v>43.991999999999997</v>
      </c>
      <c r="E39" s="13">
        <v>42.033999999999999</v>
      </c>
      <c r="F39" s="13">
        <v>41.56</v>
      </c>
      <c r="G39" s="13">
        <v>41.56</v>
      </c>
      <c r="H39" s="13">
        <v>41.56</v>
      </c>
      <c r="I39" s="13">
        <v>41.56</v>
      </c>
      <c r="J39" s="13">
        <v>41.56</v>
      </c>
      <c r="K39" s="13">
        <v>41.56</v>
      </c>
      <c r="L39" s="13">
        <v>41.56</v>
      </c>
      <c r="M39" s="13">
        <v>41.575999999999993</v>
      </c>
      <c r="N39" s="13">
        <v>41.56</v>
      </c>
      <c r="O39" s="13">
        <v>41.56</v>
      </c>
      <c r="P39" s="14">
        <v>41.56</v>
      </c>
      <c r="Q39" s="39">
        <f t="shared" si="0"/>
        <v>41.600833333333334</v>
      </c>
      <c r="R39" s="40">
        <f t="shared" si="1"/>
        <v>499.21</v>
      </c>
    </row>
    <row r="40" spans="1:19" outlineLevel="2">
      <c r="A40" s="104"/>
      <c r="B40" s="67"/>
      <c r="C40" s="12" t="s">
        <v>55</v>
      </c>
      <c r="D40" s="13">
        <f>'Control Consumo R - 2015'!Q38</f>
        <v>43.308199000000002</v>
      </c>
      <c r="E40" s="13">
        <v>47</v>
      </c>
      <c r="F40" s="13">
        <v>47</v>
      </c>
      <c r="G40" s="13">
        <v>47</v>
      </c>
      <c r="H40" s="13">
        <v>47</v>
      </c>
      <c r="I40" s="13">
        <v>47</v>
      </c>
      <c r="J40" s="13">
        <v>47</v>
      </c>
      <c r="K40" s="13">
        <v>47</v>
      </c>
      <c r="L40" s="13">
        <v>47</v>
      </c>
      <c r="M40" s="13">
        <v>47</v>
      </c>
      <c r="N40" s="13">
        <v>47</v>
      </c>
      <c r="O40" s="13">
        <v>47</v>
      </c>
      <c r="P40" s="14">
        <v>47</v>
      </c>
      <c r="Q40" s="39">
        <f t="shared" ref="Q40" si="12">AVERAGE(E40:P40)</f>
        <v>47</v>
      </c>
      <c r="R40" s="40">
        <f t="shared" ref="R40" si="13">SUM(E40:P40)</f>
        <v>564</v>
      </c>
    </row>
    <row r="41" spans="1:19" outlineLevel="2">
      <c r="A41" s="104"/>
      <c r="B41" s="67">
        <v>62910182</v>
      </c>
      <c r="C41" s="12" t="s">
        <v>38</v>
      </c>
      <c r="D41" s="13">
        <f>'Control Consumo R - 2015'!Q39</f>
        <v>43.487883333333343</v>
      </c>
      <c r="E41" s="13">
        <v>41</v>
      </c>
      <c r="F41" s="13">
        <v>41</v>
      </c>
      <c r="G41" s="13">
        <v>41.04</v>
      </c>
      <c r="H41" s="13">
        <v>41</v>
      </c>
      <c r="I41" s="13">
        <v>41.652699999999996</v>
      </c>
      <c r="J41" s="13">
        <v>41.102000000000004</v>
      </c>
      <c r="K41" s="13">
        <v>41</v>
      </c>
      <c r="L41" s="13">
        <v>41</v>
      </c>
      <c r="M41" s="13">
        <v>41.008000000000003</v>
      </c>
      <c r="N41" s="13">
        <v>41.212000000000003</v>
      </c>
      <c r="O41" s="13">
        <v>41.47</v>
      </c>
      <c r="P41" s="14">
        <v>41</v>
      </c>
      <c r="Q41" s="39">
        <f t="shared" si="0"/>
        <v>41.123725</v>
      </c>
      <c r="R41" s="40">
        <f>SUM(E41:P41)</f>
        <v>493.48469999999998</v>
      </c>
    </row>
    <row r="42" spans="1:19" outlineLevel="2">
      <c r="A42" s="104"/>
      <c r="B42" s="67">
        <v>62910182</v>
      </c>
      <c r="C42" s="12" t="s">
        <v>39</v>
      </c>
      <c r="D42" s="13">
        <f>'Control Consumo R - 2015'!Q40</f>
        <v>43.528558333333336</v>
      </c>
      <c r="E42" s="13">
        <v>41.256699999999995</v>
      </c>
      <c r="F42" s="13">
        <v>41</v>
      </c>
      <c r="G42" s="13">
        <v>41</v>
      </c>
      <c r="H42" s="13">
        <v>41</v>
      </c>
      <c r="I42" s="13">
        <v>41</v>
      </c>
      <c r="J42" s="13">
        <v>42.293334000000002</v>
      </c>
      <c r="K42" s="13">
        <v>43</v>
      </c>
      <c r="L42" s="13">
        <v>43.04</v>
      </c>
      <c r="M42" s="13">
        <v>43</v>
      </c>
      <c r="N42" s="13">
        <v>43</v>
      </c>
      <c r="O42" s="13">
        <v>43</v>
      </c>
      <c r="P42" s="14">
        <v>43</v>
      </c>
      <c r="Q42" s="39">
        <f t="shared" si="0"/>
        <v>42.132502833333334</v>
      </c>
      <c r="R42" s="40">
        <f>SUM(E42:P42)</f>
        <v>505.590034</v>
      </c>
    </row>
    <row r="43" spans="1:19" ht="15" outlineLevel="2" thickBot="1">
      <c r="A43" s="22" t="s">
        <v>33</v>
      </c>
      <c r="B43" s="68"/>
      <c r="C43" s="17"/>
      <c r="D43" s="18">
        <f>'Control Consumo R - 2015'!Q41</f>
        <v>232.59562400000002</v>
      </c>
      <c r="E43" s="18">
        <f>SUBTOTAL(9,E38:E42)</f>
        <v>224.18269999999998</v>
      </c>
      <c r="F43" s="18">
        <f t="shared" ref="F43:P43" si="14">SUBTOTAL(9,F38:F42)</f>
        <v>223.01400000000001</v>
      </c>
      <c r="G43" s="18">
        <f t="shared" si="14"/>
        <v>225.89599999999999</v>
      </c>
      <c r="H43" s="18">
        <f t="shared" si="14"/>
        <v>230.86940000000001</v>
      </c>
      <c r="I43" s="18">
        <f t="shared" si="14"/>
        <v>223.35269999999997</v>
      </c>
      <c r="J43" s="18">
        <f t="shared" si="14"/>
        <v>224.18933399999997</v>
      </c>
      <c r="K43" s="18">
        <f t="shared" si="14"/>
        <v>224.94400000000002</v>
      </c>
      <c r="L43" s="18">
        <f t="shared" si="14"/>
        <v>226.37699999999998</v>
      </c>
      <c r="M43" s="18">
        <f t="shared" si="14"/>
        <v>225.50200000000001</v>
      </c>
      <c r="N43" s="18">
        <f t="shared" si="14"/>
        <v>233.89800000000002</v>
      </c>
      <c r="O43" s="18">
        <f t="shared" si="14"/>
        <v>216.03</v>
      </c>
      <c r="P43" s="19">
        <f t="shared" si="14"/>
        <v>222.45875799999999</v>
      </c>
      <c r="Q43" s="41">
        <f>SUM(Q38:Q42)</f>
        <v>225.05949100000004</v>
      </c>
      <c r="R43" s="46">
        <f>SUM(E43:P43)</f>
        <v>2700.7138919999998</v>
      </c>
    </row>
    <row r="44" spans="1:19" ht="15" outlineLevel="1" thickBot="1">
      <c r="A44" s="24"/>
      <c r="B44" s="24"/>
      <c r="C44" s="25"/>
      <c r="D44" s="25">
        <f>'Control Consumo R - 2015'!Q42</f>
        <v>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7"/>
      <c r="Q44" s="47"/>
      <c r="R44" s="48"/>
    </row>
    <row r="45" spans="1:19" ht="15" outlineLevel="1" thickBot="1">
      <c r="A45" s="28" t="s">
        <v>27</v>
      </c>
      <c r="B45" s="69"/>
      <c r="C45" s="29"/>
      <c r="D45" s="30">
        <f>'Control Consumo R - 2015'!Q43</f>
        <v>4978.6244783333341</v>
      </c>
      <c r="E45" s="30">
        <f t="shared" ref="E45:P45" si="15">SUBTOTAL(9,E2:E42)</f>
        <v>4925.9463850000002</v>
      </c>
      <c r="F45" s="30">
        <f t="shared" si="15"/>
        <v>4920.81405</v>
      </c>
      <c r="G45" s="30">
        <f t="shared" si="15"/>
        <v>5024.3879510000006</v>
      </c>
      <c r="H45" s="30">
        <f t="shared" si="15"/>
        <v>4894.4213829999999</v>
      </c>
      <c r="I45" s="30">
        <f t="shared" si="15"/>
        <v>4911.1233059999995</v>
      </c>
      <c r="J45" s="30">
        <f t="shared" si="15"/>
        <v>5085.5017340000013</v>
      </c>
      <c r="K45" s="30">
        <f t="shared" si="15"/>
        <v>5449.5737189999991</v>
      </c>
      <c r="L45" s="30">
        <f t="shared" si="15"/>
        <v>5138.9628010000006</v>
      </c>
      <c r="M45" s="30">
        <f t="shared" si="15"/>
        <v>5820.2682099999984</v>
      </c>
      <c r="N45" s="30">
        <f t="shared" si="15"/>
        <v>7119.4833129999988</v>
      </c>
      <c r="O45" s="30">
        <f t="shared" si="15"/>
        <v>6920.1039559999999</v>
      </c>
      <c r="P45" s="31">
        <f t="shared" si="15"/>
        <v>7398.0407270000005</v>
      </c>
      <c r="Q45" s="43">
        <f>AVERAGE(E45:P45)</f>
        <v>5634.0522945833327</v>
      </c>
      <c r="R45" s="44">
        <f t="shared" si="1"/>
        <v>67608.627534999992</v>
      </c>
    </row>
    <row r="46" spans="1:19" ht="15" thickBot="1">
      <c r="A46" s="25"/>
      <c r="B46" s="25"/>
      <c r="C46" s="25"/>
      <c r="D46" s="25">
        <f>'Control Consumo R - 2015'!Q44</f>
        <v>0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32"/>
      <c r="Q46" s="47"/>
      <c r="R46" s="48"/>
    </row>
    <row r="47" spans="1:19" ht="15" thickBot="1">
      <c r="A47" s="33" t="s">
        <v>26</v>
      </c>
      <c r="B47" s="70"/>
      <c r="C47" s="29"/>
      <c r="D47" s="30">
        <f>'Control Consumo R - 2015'!Q45</f>
        <v>4978.623333333333</v>
      </c>
      <c r="E47" s="30">
        <v>4925.95</v>
      </c>
      <c r="F47" s="30">
        <v>4920.8100000000004</v>
      </c>
      <c r="G47" s="30">
        <v>5024.3900000000003</v>
      </c>
      <c r="H47" s="30">
        <v>4894</v>
      </c>
      <c r="I47" s="30">
        <v>4910.62</v>
      </c>
      <c r="J47" s="30">
        <v>5085</v>
      </c>
      <c r="K47" s="30">
        <v>5449.07</v>
      </c>
      <c r="L47" s="30">
        <v>5138.46</v>
      </c>
      <c r="M47" s="30">
        <v>5819.77</v>
      </c>
      <c r="N47" s="30">
        <v>7119.98</v>
      </c>
      <c r="O47" s="30">
        <v>6918.73</v>
      </c>
      <c r="P47" s="31">
        <v>7398.04</v>
      </c>
      <c r="Q47" s="43">
        <f>AVERAGE(E47:P47)</f>
        <v>5633.7349999999979</v>
      </c>
      <c r="R47" s="44">
        <f t="shared" si="1"/>
        <v>67604.819999999978</v>
      </c>
    </row>
    <row r="48" spans="1:19" s="37" customFormat="1">
      <c r="A48" s="35"/>
      <c r="B48" s="35"/>
      <c r="C48" s="35"/>
      <c r="D48" s="35"/>
      <c r="E48" s="38"/>
      <c r="F48" s="38"/>
      <c r="G48" s="38"/>
      <c r="H48" s="38"/>
      <c r="I48" s="79"/>
      <c r="J48" s="38"/>
      <c r="K48" s="79"/>
      <c r="L48" s="38"/>
      <c r="M48" s="79"/>
      <c r="N48" s="79"/>
      <c r="O48" s="79"/>
      <c r="P48" s="38"/>
      <c r="Q48" s="79"/>
      <c r="R48" s="79"/>
    </row>
    <row r="49" spans="5:16">
      <c r="E49" s="38"/>
      <c r="I49" s="38"/>
      <c r="J49" s="38"/>
      <c r="K49" s="38"/>
      <c r="L49" s="38"/>
    </row>
    <row r="51" spans="5:16">
      <c r="I51" s="38"/>
    </row>
    <row r="52" spans="5:16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4" spans="5:16">
      <c r="I54" s="38"/>
    </row>
  </sheetData>
  <mergeCells count="4">
    <mergeCell ref="A2:A7"/>
    <mergeCell ref="A9:A18"/>
    <mergeCell ref="A20:A34"/>
    <mergeCell ref="A38:A4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4"/>
  <sheetViews>
    <sheetView workbookViewId="0">
      <selection activeCell="R2" sqref="R2"/>
    </sheetView>
  </sheetViews>
  <sheetFormatPr baseColWidth="10" defaultColWidth="11.44140625" defaultRowHeight="14.4" outlineLevelRow="2"/>
  <cols>
    <col min="1" max="1" width="25.44140625" style="35" customWidth="1"/>
    <col min="2" max="2" width="10" style="35" bestFit="1" customWidth="1"/>
    <col min="3" max="3" width="15" style="35" bestFit="1" customWidth="1"/>
    <col min="4" max="4" width="14.109375" style="35" bestFit="1" customWidth="1"/>
    <col min="5" max="5" width="13.6640625" style="79" bestFit="1" customWidth="1"/>
    <col min="6" max="7" width="12.6640625" style="79" bestFit="1" customWidth="1"/>
    <col min="8" max="10" width="12" style="79" bestFit="1" customWidth="1"/>
    <col min="11" max="14" width="11.5546875" style="79" bestFit="1" customWidth="1"/>
    <col min="15" max="15" width="12.33203125" style="79" bestFit="1" customWidth="1"/>
    <col min="16" max="16" width="11.5546875" style="79" bestFit="1" customWidth="1"/>
    <col min="17" max="17" width="14.109375" style="79" bestFit="1" customWidth="1"/>
    <col min="18" max="18" width="12.5546875" style="79" bestFit="1" customWidth="1"/>
    <col min="19" max="16384" width="11.44140625" style="35"/>
  </cols>
  <sheetData>
    <row r="1" spans="1:18" ht="15" thickBot="1">
      <c r="A1" s="3"/>
      <c r="B1" s="78" t="s">
        <v>47</v>
      </c>
      <c r="C1" s="3"/>
      <c r="D1" s="5" t="str">
        <f>'Control Consumo R - 2016'!Q1</f>
        <v>Promedio 2016</v>
      </c>
      <c r="E1" s="5">
        <v>42736</v>
      </c>
      <c r="F1" s="5">
        <v>42767</v>
      </c>
      <c r="G1" s="5">
        <v>42795</v>
      </c>
      <c r="H1" s="5">
        <v>42826</v>
      </c>
      <c r="I1" s="5">
        <v>42856</v>
      </c>
      <c r="J1" s="5">
        <v>42887</v>
      </c>
      <c r="K1" s="5">
        <v>42917</v>
      </c>
      <c r="L1" s="5">
        <v>42948</v>
      </c>
      <c r="M1" s="5">
        <v>42979</v>
      </c>
      <c r="N1" s="5">
        <v>43009</v>
      </c>
      <c r="O1" s="5">
        <v>43040</v>
      </c>
      <c r="P1" s="5">
        <v>43070</v>
      </c>
      <c r="Q1" s="42" t="s">
        <v>65</v>
      </c>
      <c r="R1" s="34" t="s">
        <v>67</v>
      </c>
    </row>
    <row r="2" spans="1:18" outlineLevel="2">
      <c r="A2" s="105" t="s">
        <v>0</v>
      </c>
      <c r="B2" s="73">
        <v>62910182</v>
      </c>
      <c r="C2" s="9" t="s">
        <v>22</v>
      </c>
      <c r="D2" s="10">
        <f>'Control Consumo R - 2016'!Q2</f>
        <v>1808.0425782500004</v>
      </c>
      <c r="E2" s="10">
        <f>2025.8489-24</f>
        <v>2001.8489</v>
      </c>
      <c r="F2" s="10">
        <f>2042.1926-48</f>
        <v>1994.1926000000001</v>
      </c>
      <c r="G2" s="10">
        <v>1997.8171</v>
      </c>
      <c r="H2" s="10">
        <v>2000.7922000000001</v>
      </c>
      <c r="I2" s="10">
        <v>2001.491</v>
      </c>
      <c r="J2" s="10">
        <f>2151.3535-81.52-76.8</f>
        <v>1993.0335000000002</v>
      </c>
      <c r="K2" s="10">
        <v>1998.1797000000001</v>
      </c>
      <c r="L2" s="13">
        <f>2167.1202-168</f>
        <v>1999.1201999999998</v>
      </c>
      <c r="M2" s="10">
        <f>14.3+1996.4287</f>
        <v>2010.7286999999999</v>
      </c>
      <c r="N2" s="10">
        <f>1993.0191</f>
        <v>1993.0191</v>
      </c>
      <c r="O2" s="10">
        <v>2003.6762000000001</v>
      </c>
      <c r="P2" s="11">
        <f>2458.216-458.65</f>
        <v>1999.5659999999998</v>
      </c>
      <c r="Q2" s="45">
        <f t="shared" ref="Q2:Q38" si="0">AVERAGE(E2:P2)</f>
        <v>1999.4554333333335</v>
      </c>
      <c r="R2" s="36">
        <f>SUM(E2:P2)</f>
        <v>23993.465200000002</v>
      </c>
    </row>
    <row r="3" spans="1:18" outlineLevel="2">
      <c r="A3" s="106"/>
      <c r="B3" s="80">
        <v>62910036</v>
      </c>
      <c r="C3" s="12" t="s">
        <v>21</v>
      </c>
      <c r="D3" s="13">
        <f>'Control Consumo R - 2016'!Q3+80</f>
        <v>232.0684675</v>
      </c>
      <c r="E3" s="13">
        <f>84.25807+24+63</f>
        <v>171.25807</v>
      </c>
      <c r="F3" s="13">
        <f>48+108.5+63</f>
        <v>219.5</v>
      </c>
      <c r="G3" s="13">
        <f>228.5+63</f>
        <v>291.5</v>
      </c>
      <c r="H3" s="13">
        <f>12.5+63</f>
        <v>75.5</v>
      </c>
      <c r="I3" s="13">
        <f>12.5+62.5</f>
        <v>75</v>
      </c>
      <c r="J3" s="13">
        <f>81.52+76.8+62.5+12.5</f>
        <v>233.32</v>
      </c>
      <c r="K3" s="13">
        <f>12.5+62.5</f>
        <v>75</v>
      </c>
      <c r="L3" s="13">
        <f>168+36.5+62.5</f>
        <v>267</v>
      </c>
      <c r="M3" s="13">
        <v>56</v>
      </c>
      <c r="N3" s="13">
        <v>39.935136000000966</v>
      </c>
      <c r="O3" s="13">
        <v>114</v>
      </c>
      <c r="P3" s="14">
        <f>51.5+458.65+62.5</f>
        <v>572.65</v>
      </c>
      <c r="Q3" s="39">
        <f t="shared" si="0"/>
        <v>182.55526716666677</v>
      </c>
      <c r="R3" s="40">
        <f t="shared" ref="R3:R47" si="1">SUM(E3:P3)</f>
        <v>2190.6632060000011</v>
      </c>
    </row>
    <row r="4" spans="1:18" outlineLevel="2">
      <c r="A4" s="106"/>
      <c r="B4" s="72">
        <v>62910182</v>
      </c>
      <c r="C4" s="12" t="s">
        <v>25</v>
      </c>
      <c r="D4" s="13">
        <f>'Control Consumo R - 2016'!Q4</f>
        <v>1971.6825025833334</v>
      </c>
      <c r="E4" s="13">
        <v>3155.2387089999997</v>
      </c>
      <c r="F4" s="13">
        <v>3545.5143060000005</v>
      </c>
      <c r="G4" s="13">
        <v>3757.6870960000006</v>
      </c>
      <c r="H4" s="13">
        <v>4137.3</v>
      </c>
      <c r="I4" s="13">
        <v>4021.42904</v>
      </c>
      <c r="J4" s="13">
        <v>4049.3</v>
      </c>
      <c r="K4" s="13">
        <v>4049.3</v>
      </c>
      <c r="L4" s="13">
        <v>4142.2032300000001</v>
      </c>
      <c r="M4" s="13">
        <v>4109.3</v>
      </c>
      <c r="N4" s="13">
        <f>4111.751613+30.983871</f>
        <v>4142.7354840000007</v>
      </c>
      <c r="O4" s="13">
        <v>4143.8999999999996</v>
      </c>
      <c r="P4" s="14">
        <v>4230.0096780000003</v>
      </c>
      <c r="Q4" s="39">
        <f t="shared" si="0"/>
        <v>3956.9931285833331</v>
      </c>
      <c r="R4" s="40">
        <f t="shared" ref="R4:R7" si="2">SUM(E4:P4)</f>
        <v>47483.917542999996</v>
      </c>
    </row>
    <row r="5" spans="1:18" outlineLevel="2">
      <c r="A5" s="106"/>
      <c r="B5" s="73">
        <v>62910182</v>
      </c>
      <c r="C5" s="12" t="s">
        <v>57</v>
      </c>
      <c r="D5" s="13">
        <f>'Control Consumo R - 2016'!Q5</f>
        <v>74.215799999999987</v>
      </c>
      <c r="E5" s="13">
        <v>82.461999999999989</v>
      </c>
      <c r="F5" s="13">
        <v>82.461999999999989</v>
      </c>
      <c r="G5" s="13">
        <v>82.461999999999989</v>
      </c>
      <c r="H5" s="13">
        <v>82.461999999999989</v>
      </c>
      <c r="I5" s="13">
        <v>82.461999999999989</v>
      </c>
      <c r="J5" s="13">
        <v>82.461999999999989</v>
      </c>
      <c r="K5" s="13">
        <v>82.461999999999989</v>
      </c>
      <c r="L5" s="13">
        <v>95.365225999999993</v>
      </c>
      <c r="M5" s="13">
        <v>157.913613</v>
      </c>
      <c r="N5" s="13">
        <v>151.46199999999999</v>
      </c>
      <c r="O5" s="13">
        <v>151.46199999999999</v>
      </c>
      <c r="P5" s="14">
        <v>151.46199999999999</v>
      </c>
      <c r="Q5" s="39">
        <f t="shared" si="0"/>
        <v>107.07490324999999</v>
      </c>
      <c r="R5" s="40">
        <f t="shared" si="2"/>
        <v>1284.898839</v>
      </c>
    </row>
    <row r="6" spans="1:18" outlineLevel="2">
      <c r="A6" s="106"/>
      <c r="B6" s="72">
        <v>62910182</v>
      </c>
      <c r="C6" s="12" t="s">
        <v>34</v>
      </c>
      <c r="D6" s="13">
        <f>'Control Consumo R - 2016'!Q6</f>
        <v>1E-4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39"/>
      <c r="R6" s="40">
        <f t="shared" si="2"/>
        <v>0</v>
      </c>
    </row>
    <row r="7" spans="1:18" outlineLevel="2">
      <c r="A7" s="107"/>
      <c r="B7" s="72">
        <v>62910182</v>
      </c>
      <c r="C7" s="12" t="s">
        <v>24</v>
      </c>
      <c r="D7" s="13">
        <v>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39"/>
      <c r="R7" s="40">
        <f t="shared" si="2"/>
        <v>0</v>
      </c>
    </row>
    <row r="8" spans="1:18" ht="15" outlineLevel="1" thickBot="1">
      <c r="A8" s="16" t="s">
        <v>28</v>
      </c>
      <c r="B8" s="65">
        <v>62910182</v>
      </c>
      <c r="C8" s="17"/>
      <c r="D8" s="18">
        <f>'Control Consumo R - 2016'!Q8</f>
        <v>4006.009578333334</v>
      </c>
      <c r="E8" s="18">
        <f>SUBTOTAL(9,E2:E7)</f>
        <v>5410.8076789999996</v>
      </c>
      <c r="F8" s="18">
        <f t="shared" ref="F8:P8" si="3">SUBTOTAL(9,F2:F7)</f>
        <v>5841.6689060000008</v>
      </c>
      <c r="G8" s="18">
        <f t="shared" si="3"/>
        <v>6129.4661960000012</v>
      </c>
      <c r="H8" s="18">
        <f t="shared" si="3"/>
        <v>6296.0542000000005</v>
      </c>
      <c r="I8" s="18">
        <f t="shared" si="3"/>
        <v>6180.3820400000004</v>
      </c>
      <c r="J8" s="18">
        <f t="shared" si="3"/>
        <v>6358.1154999999999</v>
      </c>
      <c r="K8" s="18">
        <f>SUBTOTAL(9,K2:K7)</f>
        <v>6204.9416999999994</v>
      </c>
      <c r="L8" s="18">
        <f t="shared" si="3"/>
        <v>6503.6886560000003</v>
      </c>
      <c r="M8" s="18">
        <f t="shared" si="3"/>
        <v>6333.9423129999996</v>
      </c>
      <c r="N8" s="18">
        <f t="shared" si="3"/>
        <v>6327.1517200000017</v>
      </c>
      <c r="O8" s="18">
        <f t="shared" si="3"/>
        <v>6413.0381999999991</v>
      </c>
      <c r="P8" s="19">
        <f t="shared" si="3"/>
        <v>6953.6876780000002</v>
      </c>
      <c r="Q8" s="41">
        <f>SUM(Q2:Q7)</f>
        <v>6246.0787323333334</v>
      </c>
      <c r="R8" s="46">
        <f t="shared" si="1"/>
        <v>74952.944787999993</v>
      </c>
    </row>
    <row r="9" spans="1:18" outlineLevel="2">
      <c r="A9" s="103" t="s">
        <v>29</v>
      </c>
      <c r="B9" s="66">
        <v>62910106</v>
      </c>
      <c r="C9" s="21" t="s">
        <v>11</v>
      </c>
      <c r="D9" s="10">
        <f>'Control Consumo R - 2016'!Q9</f>
        <v>43.223225000000006</v>
      </c>
      <c r="E9" s="10">
        <v>43</v>
      </c>
      <c r="F9" s="10">
        <v>43.426000000000002</v>
      </c>
      <c r="G9" s="10">
        <v>43.949161000000004</v>
      </c>
      <c r="H9" s="10">
        <v>44.612904</v>
      </c>
      <c r="I9" s="10">
        <v>45</v>
      </c>
      <c r="J9" s="10">
        <v>45</v>
      </c>
      <c r="K9" s="10">
        <v>45</v>
      </c>
      <c r="L9" s="10">
        <v>45</v>
      </c>
      <c r="M9" s="10">
        <v>81</v>
      </c>
      <c r="N9" s="10">
        <v>45</v>
      </c>
      <c r="O9" s="10">
        <v>45</v>
      </c>
      <c r="P9" s="11">
        <v>45.432000000000002</v>
      </c>
      <c r="Q9" s="45">
        <f t="shared" si="0"/>
        <v>47.618338749999999</v>
      </c>
      <c r="R9" s="36">
        <f t="shared" si="1"/>
        <v>571.42006500000002</v>
      </c>
    </row>
    <row r="10" spans="1:18" outlineLevel="2">
      <c r="A10" s="104"/>
      <c r="B10" s="67">
        <v>62910104</v>
      </c>
      <c r="C10" s="12" t="s">
        <v>12</v>
      </c>
      <c r="D10" s="13">
        <f>'Control Consumo R - 2016'!Q10</f>
        <v>47.907999999999994</v>
      </c>
      <c r="E10" s="13">
        <v>47.399299999999997</v>
      </c>
      <c r="F10" s="13">
        <v>55.68</v>
      </c>
      <c r="G10" s="13">
        <v>47.875999999999998</v>
      </c>
      <c r="H10" s="13">
        <v>47.128</v>
      </c>
      <c r="I10" s="13">
        <v>47.475999999999999</v>
      </c>
      <c r="J10" s="13">
        <v>49.080799999999996</v>
      </c>
      <c r="K10" s="13">
        <v>51.642000000000003</v>
      </c>
      <c r="L10" s="13">
        <v>47.122</v>
      </c>
      <c r="M10" s="13">
        <v>48.557999999999993</v>
      </c>
      <c r="N10" s="13">
        <v>48.5</v>
      </c>
      <c r="O10" s="13">
        <v>52.652299999999997</v>
      </c>
      <c r="P10" s="14">
        <v>48.774000000000001</v>
      </c>
      <c r="Q10" s="39">
        <f t="shared" si="0"/>
        <v>49.32403333333334</v>
      </c>
      <c r="R10" s="40">
        <f t="shared" si="1"/>
        <v>591.88840000000005</v>
      </c>
    </row>
    <row r="11" spans="1:18" outlineLevel="2">
      <c r="A11" s="104"/>
      <c r="B11" s="67">
        <v>62910102</v>
      </c>
      <c r="C11" s="12" t="s">
        <v>13</v>
      </c>
      <c r="D11" s="13">
        <f>'Control Consumo R - 2016'!Q11</f>
        <v>68.296878000000007</v>
      </c>
      <c r="E11" s="13">
        <v>69</v>
      </c>
      <c r="F11" s="13">
        <v>69</v>
      </c>
      <c r="G11" s="13">
        <v>69</v>
      </c>
      <c r="H11" s="13">
        <v>69.268299999999996</v>
      </c>
      <c r="I11" s="13">
        <v>70.245000000000005</v>
      </c>
      <c r="J11" s="13">
        <v>69.321600000000004</v>
      </c>
      <c r="K11" s="88">
        <v>69</v>
      </c>
      <c r="L11" s="13">
        <v>70.855400000000003</v>
      </c>
      <c r="M11" s="13">
        <v>73.740000000000009</v>
      </c>
      <c r="N11" s="13">
        <v>69.207499999999996</v>
      </c>
      <c r="O11" s="13">
        <v>70.253699999999995</v>
      </c>
      <c r="P11" s="14">
        <v>69.210800000000006</v>
      </c>
      <c r="Q11" s="39">
        <f t="shared" si="0"/>
        <v>69.841858333333334</v>
      </c>
      <c r="R11" s="40">
        <f t="shared" si="1"/>
        <v>838.10230000000001</v>
      </c>
    </row>
    <row r="12" spans="1:18" outlineLevel="2">
      <c r="A12" s="104"/>
      <c r="B12" s="67">
        <v>62910105</v>
      </c>
      <c r="C12" s="12" t="s">
        <v>14</v>
      </c>
      <c r="D12" s="13">
        <f>'Control Consumo R - 2016'!Q12</f>
        <v>47.529383333333328</v>
      </c>
      <c r="E12" s="13">
        <v>45.521999999999998</v>
      </c>
      <c r="F12" s="13">
        <v>50.128</v>
      </c>
      <c r="G12" s="13">
        <v>47.054000000000002</v>
      </c>
      <c r="H12" s="13">
        <v>49.851999999999997</v>
      </c>
      <c r="I12" s="13">
        <v>47.917999999999999</v>
      </c>
      <c r="J12" s="13">
        <v>48.6</v>
      </c>
      <c r="K12" s="13">
        <v>45.451999999999998</v>
      </c>
      <c r="L12" s="13">
        <v>45.594000000000001</v>
      </c>
      <c r="M12" s="13">
        <v>46.695499999999996</v>
      </c>
      <c r="N12" s="13">
        <v>45.515999999999998</v>
      </c>
      <c r="O12" s="13">
        <v>46.564</v>
      </c>
      <c r="P12" s="14">
        <v>45.463999999999999</v>
      </c>
      <c r="Q12" s="39">
        <f t="shared" si="0"/>
        <v>47.029958333333333</v>
      </c>
      <c r="R12" s="40">
        <f t="shared" si="1"/>
        <v>564.35950000000003</v>
      </c>
    </row>
    <row r="13" spans="1:18" outlineLevel="2">
      <c r="A13" s="104"/>
      <c r="B13" s="67">
        <v>62910103</v>
      </c>
      <c r="C13" s="12" t="s">
        <v>15</v>
      </c>
      <c r="D13" s="13">
        <f>'Control Consumo R - 2016'!Q13</f>
        <v>44.346116666666667</v>
      </c>
      <c r="E13" s="13">
        <v>44.102199999999996</v>
      </c>
      <c r="F13" s="13">
        <v>45.198000000000008</v>
      </c>
      <c r="G13" s="13">
        <v>43.293999999999997</v>
      </c>
      <c r="H13" s="13">
        <v>43.576000000000001</v>
      </c>
      <c r="I13" s="13">
        <v>43.34</v>
      </c>
      <c r="J13" s="13">
        <v>46.222000000000001</v>
      </c>
      <c r="K13" s="13">
        <v>46.161999999999999</v>
      </c>
      <c r="L13" s="13">
        <v>47.3598</v>
      </c>
      <c r="M13" s="13">
        <v>48.095999999999997</v>
      </c>
      <c r="N13" s="13">
        <v>62.284600000000005</v>
      </c>
      <c r="O13" s="13">
        <v>46.409100000000002</v>
      </c>
      <c r="P13" s="14">
        <v>43</v>
      </c>
      <c r="Q13" s="39">
        <f t="shared" si="0"/>
        <v>46.586974999999995</v>
      </c>
      <c r="R13" s="40">
        <f t="shared" si="1"/>
        <v>559.04369999999994</v>
      </c>
    </row>
    <row r="14" spans="1:18" outlineLevel="2">
      <c r="A14" s="104"/>
      <c r="B14" s="67">
        <v>62910110</v>
      </c>
      <c r="C14" s="12" t="s">
        <v>16</v>
      </c>
      <c r="D14" s="13">
        <f>'Control Consumo R - 2016'!Q14</f>
        <v>43.08744166666667</v>
      </c>
      <c r="E14" s="13">
        <v>43.499400000000001</v>
      </c>
      <c r="F14" s="13">
        <v>43</v>
      </c>
      <c r="G14" s="13">
        <v>44.774194000000001</v>
      </c>
      <c r="H14" s="13">
        <v>43.969482999999997</v>
      </c>
      <c r="I14" s="13">
        <v>45</v>
      </c>
      <c r="J14" s="13">
        <v>45</v>
      </c>
      <c r="K14" s="13">
        <v>45.015999999999998</v>
      </c>
      <c r="L14" s="13">
        <v>45</v>
      </c>
      <c r="M14" s="13">
        <v>45</v>
      </c>
      <c r="N14" s="13">
        <v>45.03</v>
      </c>
      <c r="O14" s="13">
        <v>45</v>
      </c>
      <c r="P14" s="14">
        <v>45</v>
      </c>
      <c r="Q14" s="39">
        <f t="shared" si="0"/>
        <v>44.607423083333337</v>
      </c>
      <c r="R14" s="40">
        <f t="shared" si="1"/>
        <v>535.28907700000002</v>
      </c>
    </row>
    <row r="15" spans="1:18" ht="15" outlineLevel="2" thickBot="1">
      <c r="A15" s="104"/>
      <c r="B15" s="67">
        <v>62910107</v>
      </c>
      <c r="C15" s="12" t="s">
        <v>23</v>
      </c>
      <c r="D15" s="13">
        <f>'Control Consumo R - 2016'!Q15</f>
        <v>41.194833333333335</v>
      </c>
      <c r="E15" s="13">
        <v>41</v>
      </c>
      <c r="F15" s="13">
        <v>41.061999999999998</v>
      </c>
      <c r="G15" s="13">
        <v>41.061999999999998</v>
      </c>
      <c r="H15" s="13">
        <v>41</v>
      </c>
      <c r="I15" s="13">
        <v>41</v>
      </c>
      <c r="J15" s="13">
        <v>41</v>
      </c>
      <c r="K15" s="13">
        <v>41</v>
      </c>
      <c r="L15" s="13">
        <v>41.03</v>
      </c>
      <c r="M15" s="13">
        <v>41</v>
      </c>
      <c r="N15" s="13">
        <v>41.061999999999998</v>
      </c>
      <c r="O15" s="13">
        <v>41.058</v>
      </c>
      <c r="P15" s="14">
        <v>41.034300000000002</v>
      </c>
      <c r="Q15" s="39">
        <f t="shared" si="0"/>
        <v>41.025691666666667</v>
      </c>
      <c r="R15" s="40">
        <f t="shared" si="1"/>
        <v>492.30830000000003</v>
      </c>
    </row>
    <row r="16" spans="1:18" outlineLevel="2">
      <c r="A16" s="104"/>
      <c r="B16" s="67">
        <v>62910114</v>
      </c>
      <c r="C16" s="12" t="s">
        <v>17</v>
      </c>
      <c r="D16" s="13">
        <f>'Control Consumo R - 2016'!Q16</f>
        <v>47.413216666666671</v>
      </c>
      <c r="E16" s="13">
        <v>64.615899999999996</v>
      </c>
      <c r="F16" s="13">
        <v>47.054000000000002</v>
      </c>
      <c r="G16" s="13">
        <v>47</v>
      </c>
      <c r="H16" s="13">
        <v>47</v>
      </c>
      <c r="I16" s="13">
        <v>47.426000000000002</v>
      </c>
      <c r="J16" s="13">
        <v>47.097999999999999</v>
      </c>
      <c r="K16" s="79">
        <f>SUM('[1]OUTES - LG ENTINS'!G2:G10)</f>
        <v>47.508000000000003</v>
      </c>
      <c r="L16" s="13">
        <v>47</v>
      </c>
      <c r="M16" s="13">
        <v>47.006</v>
      </c>
      <c r="N16" s="13">
        <v>73.03</v>
      </c>
      <c r="O16" s="13">
        <v>47</v>
      </c>
      <c r="P16" s="14">
        <v>47.497999999999998</v>
      </c>
      <c r="Q16" s="45">
        <f t="shared" ref="Q16:Q17" si="4">AVERAGE(E16:P16)</f>
        <v>50.769658333333332</v>
      </c>
      <c r="R16" s="36">
        <f t="shared" ref="R16:R17" si="5">SUM(E16:P16)</f>
        <v>609.23590000000002</v>
      </c>
    </row>
    <row r="17" spans="1:18" outlineLevel="2">
      <c r="A17" s="104"/>
      <c r="B17" s="67">
        <v>62910236</v>
      </c>
      <c r="C17" s="12" t="s">
        <v>43</v>
      </c>
      <c r="D17" s="13">
        <f>'Control Consumo R - 2016'!Q17</f>
        <v>48.832266666666669</v>
      </c>
      <c r="E17" s="13">
        <v>47.658000000000001</v>
      </c>
      <c r="F17" s="13">
        <v>49.816000000000003</v>
      </c>
      <c r="G17" s="13">
        <v>48.818599999999996</v>
      </c>
      <c r="H17" s="13">
        <v>49.17</v>
      </c>
      <c r="I17" s="13">
        <v>48.821999999999996</v>
      </c>
      <c r="J17" s="13">
        <v>48.35</v>
      </c>
      <c r="K17" s="13">
        <v>48.863999999999997</v>
      </c>
      <c r="L17" s="13">
        <v>48.3</v>
      </c>
      <c r="M17" s="13">
        <v>48.317999999999998</v>
      </c>
      <c r="N17" s="13">
        <v>47.310499999999998</v>
      </c>
      <c r="O17" s="13">
        <v>48.847999999999999</v>
      </c>
      <c r="P17" s="14">
        <v>48.927999999999997</v>
      </c>
      <c r="Q17" s="39">
        <f t="shared" si="4"/>
        <v>48.600258333333329</v>
      </c>
      <c r="R17" s="40">
        <f t="shared" si="5"/>
        <v>583.20309999999995</v>
      </c>
    </row>
    <row r="18" spans="1:18" outlineLevel="2">
      <c r="A18" s="104"/>
      <c r="B18" s="67">
        <v>62910239</v>
      </c>
      <c r="C18" s="12" t="s">
        <v>54</v>
      </c>
      <c r="D18" s="13">
        <f>'Control Consumo R - 2016'!Q18</f>
        <v>76.304352416666674</v>
      </c>
      <c r="E18" s="13">
        <v>105.60683900000001</v>
      </c>
      <c r="F18" s="13">
        <v>119.9325</v>
      </c>
      <c r="G18" s="13">
        <v>128.77949999999998</v>
      </c>
      <c r="H18" s="13">
        <v>132.42950000000002</v>
      </c>
      <c r="I18" s="13">
        <v>129.3665</v>
      </c>
      <c r="J18" s="13">
        <v>98.844400000000007</v>
      </c>
      <c r="K18" s="13">
        <v>98.68</v>
      </c>
      <c r="L18" s="13">
        <v>90.828000000000003</v>
      </c>
      <c r="M18" s="13">
        <v>88.382000000000005</v>
      </c>
      <c r="N18" s="13">
        <v>89.228999999999999</v>
      </c>
      <c r="O18" s="13">
        <v>92.631</v>
      </c>
      <c r="P18" s="14">
        <v>90.594999999999999</v>
      </c>
      <c r="Q18" s="39">
        <f t="shared" si="0"/>
        <v>105.44201991666669</v>
      </c>
      <c r="R18" s="40">
        <f t="shared" si="1"/>
        <v>1265.3042390000003</v>
      </c>
    </row>
    <row r="19" spans="1:18" ht="15" outlineLevel="1" thickBot="1">
      <c r="A19" s="22" t="s">
        <v>30</v>
      </c>
      <c r="B19" s="74"/>
      <c r="C19" s="17"/>
      <c r="D19" s="18">
        <f>'Control Consumo R - 2016'!Q19</f>
        <v>508.13571375000004</v>
      </c>
      <c r="E19" s="18">
        <f t="shared" ref="E19:P19" si="6">SUBTOTAL(9,E9:E18)</f>
        <v>551.403639</v>
      </c>
      <c r="F19" s="18">
        <f t="shared" si="6"/>
        <v>564.29650000000004</v>
      </c>
      <c r="G19" s="18">
        <f t="shared" si="6"/>
        <v>561.60745500000007</v>
      </c>
      <c r="H19" s="18">
        <f t="shared" si="6"/>
        <v>568.00618700000007</v>
      </c>
      <c r="I19" s="18">
        <f t="shared" si="6"/>
        <v>565.59350000000006</v>
      </c>
      <c r="J19" s="18">
        <f t="shared" si="6"/>
        <v>538.5168000000001</v>
      </c>
      <c r="K19" s="18">
        <f t="shared" si="6"/>
        <v>538.32399999999996</v>
      </c>
      <c r="L19" s="18">
        <f t="shared" si="6"/>
        <v>528.08920000000001</v>
      </c>
      <c r="M19" s="18">
        <f t="shared" si="6"/>
        <v>567.79549999999995</v>
      </c>
      <c r="N19" s="18">
        <f t="shared" si="6"/>
        <v>566.16959999999995</v>
      </c>
      <c r="O19" s="18">
        <f t="shared" si="6"/>
        <v>535.41610000000003</v>
      </c>
      <c r="P19" s="19">
        <f t="shared" si="6"/>
        <v>524.93610000000001</v>
      </c>
      <c r="Q19" s="41">
        <f>SUM(Q9:Q18)</f>
        <v>550.84621508333339</v>
      </c>
      <c r="R19" s="46">
        <f t="shared" si="1"/>
        <v>6610.1545810000007</v>
      </c>
    </row>
    <row r="20" spans="1:18" outlineLevel="2">
      <c r="A20" s="105" t="s">
        <v>31</v>
      </c>
      <c r="B20" s="73">
        <v>62910164</v>
      </c>
      <c r="C20" s="9" t="s">
        <v>1</v>
      </c>
      <c r="D20" s="10">
        <f>'Control Consumo R - 2016'!Q20</f>
        <v>57.594991666666665</v>
      </c>
      <c r="E20" s="10">
        <v>55.367747999999999</v>
      </c>
      <c r="F20" s="10">
        <v>57</v>
      </c>
      <c r="G20" s="10">
        <v>57.538600000000002</v>
      </c>
      <c r="H20" s="10">
        <v>57.101700000000001</v>
      </c>
      <c r="I20" s="10">
        <v>56.870968000000005</v>
      </c>
      <c r="J20" s="10">
        <v>55.155000000000001</v>
      </c>
      <c r="K20" s="10">
        <v>55</v>
      </c>
      <c r="L20" s="10">
        <v>55</v>
      </c>
      <c r="M20" s="10">
        <v>55</v>
      </c>
      <c r="N20" s="10">
        <v>56.031599999999997</v>
      </c>
      <c r="O20" s="10">
        <v>56.621499999999997</v>
      </c>
      <c r="P20" s="10">
        <v>55</v>
      </c>
      <c r="Q20" s="45">
        <f t="shared" si="0"/>
        <v>55.973926333333331</v>
      </c>
      <c r="R20" s="36">
        <f t="shared" si="1"/>
        <v>671.68711599999995</v>
      </c>
    </row>
    <row r="21" spans="1:18" outlineLevel="2">
      <c r="A21" s="106"/>
      <c r="B21" s="72">
        <v>62910163</v>
      </c>
      <c r="C21" s="12" t="s">
        <v>2</v>
      </c>
      <c r="D21" s="13">
        <f>'Control Consumo R - 2016'!Q21</f>
        <v>68.541624999999996</v>
      </c>
      <c r="E21" s="13">
        <v>68</v>
      </c>
      <c r="F21" s="13">
        <v>68</v>
      </c>
      <c r="G21" s="13">
        <v>70.613100000000003</v>
      </c>
      <c r="H21" s="13">
        <v>68</v>
      </c>
      <c r="I21" s="13">
        <v>68</v>
      </c>
      <c r="J21" s="13">
        <v>-50.276800000000009</v>
      </c>
      <c r="K21" s="13">
        <v>68.034300000000002</v>
      </c>
      <c r="L21" s="13">
        <v>68.453299999999999</v>
      </c>
      <c r="M21" s="13">
        <v>68.376300000000001</v>
      </c>
      <c r="N21" s="13">
        <v>68.194999999999993</v>
      </c>
      <c r="O21" s="13">
        <v>68.121600000000001</v>
      </c>
      <c r="P21" s="14">
        <v>68.473700000000008</v>
      </c>
      <c r="Q21" s="39">
        <f t="shared" si="0"/>
        <v>58.499208333333343</v>
      </c>
      <c r="R21" s="40">
        <f t="shared" si="1"/>
        <v>701.99050000000011</v>
      </c>
    </row>
    <row r="22" spans="1:18" outlineLevel="2">
      <c r="A22" s="106"/>
      <c r="B22" s="72">
        <v>62910165</v>
      </c>
      <c r="C22" s="12" t="s">
        <v>3</v>
      </c>
      <c r="D22" s="13">
        <f>'Control Consumo R - 2016'!Q22</f>
        <v>57.022840833333333</v>
      </c>
      <c r="E22" s="13">
        <v>58.088000000000001</v>
      </c>
      <c r="F22" s="13">
        <v>56</v>
      </c>
      <c r="G22" s="13">
        <v>56.714700000000001</v>
      </c>
      <c r="H22" s="13">
        <v>58.251733000000002</v>
      </c>
      <c r="I22" s="13">
        <v>58</v>
      </c>
      <c r="J22" s="13">
        <v>58.720199999999998</v>
      </c>
      <c r="K22" s="13">
        <v>58.247999999999998</v>
      </c>
      <c r="L22" s="13">
        <v>58.536000000000001</v>
      </c>
      <c r="M22" s="13">
        <v>58.716000000000001</v>
      </c>
      <c r="N22" s="13">
        <v>61.595999999999997</v>
      </c>
      <c r="O22" s="13">
        <v>58.79</v>
      </c>
      <c r="P22" s="14">
        <v>60.71</v>
      </c>
      <c r="Q22" s="39">
        <f t="shared" si="0"/>
        <v>58.530886083333336</v>
      </c>
      <c r="R22" s="40">
        <f t="shared" si="1"/>
        <v>702.370633</v>
      </c>
    </row>
    <row r="23" spans="1:18" outlineLevel="2">
      <c r="A23" s="106"/>
      <c r="B23" s="72">
        <v>62910169</v>
      </c>
      <c r="C23" s="12" t="s">
        <v>4</v>
      </c>
      <c r="D23" s="13">
        <f>'Control Consumo R - 2016'!Q23</f>
        <v>59.039171750000001</v>
      </c>
      <c r="E23" s="13">
        <v>59.222083999999995</v>
      </c>
      <c r="F23" s="13">
        <v>59.274000000000001</v>
      </c>
      <c r="G23" s="13">
        <v>59</v>
      </c>
      <c r="H23" s="13">
        <v>59</v>
      </c>
      <c r="I23" s="13">
        <v>59.150568</v>
      </c>
      <c r="J23" s="94">
        <v>57</v>
      </c>
      <c r="K23" s="13">
        <v>57</v>
      </c>
      <c r="L23" s="13">
        <v>57.167200000000001</v>
      </c>
      <c r="M23" s="13">
        <v>57.192</v>
      </c>
      <c r="N23" s="13">
        <v>57</v>
      </c>
      <c r="O23" s="13">
        <v>57.506799999999998</v>
      </c>
      <c r="P23" s="14">
        <v>57.068600000000004</v>
      </c>
      <c r="Q23" s="39">
        <f t="shared" si="0"/>
        <v>57.965104333333329</v>
      </c>
      <c r="R23" s="40">
        <f t="shared" si="1"/>
        <v>695.58125199999995</v>
      </c>
    </row>
    <row r="24" spans="1:18" outlineLevel="2">
      <c r="A24" s="106"/>
      <c r="B24" s="72">
        <v>62910170</v>
      </c>
      <c r="C24" s="12" t="s">
        <v>5</v>
      </c>
      <c r="D24" s="13">
        <f>'Control Consumo R - 2016'!Q24</f>
        <v>56.559350000000002</v>
      </c>
      <c r="E24" s="13">
        <v>56.538800000000002</v>
      </c>
      <c r="F24" s="13">
        <v>56.274299999999997</v>
      </c>
      <c r="G24" s="13">
        <v>57.243300000000005</v>
      </c>
      <c r="H24" s="13">
        <v>60.743299999999998</v>
      </c>
      <c r="I24" s="13">
        <v>60.091000000000001</v>
      </c>
      <c r="J24" s="13">
        <v>58.363999999999997</v>
      </c>
      <c r="K24" s="13">
        <v>59.642000000000003</v>
      </c>
      <c r="L24" s="13">
        <v>58.021999999999998</v>
      </c>
      <c r="M24" s="13">
        <v>58.09</v>
      </c>
      <c r="N24" s="13">
        <v>58.048000000000002</v>
      </c>
      <c r="O24" s="13">
        <v>59.165500000000002</v>
      </c>
      <c r="P24" s="14">
        <v>58.735500000000002</v>
      </c>
      <c r="Q24" s="39">
        <f t="shared" si="0"/>
        <v>58.413141666666661</v>
      </c>
      <c r="R24" s="40">
        <f t="shared" si="1"/>
        <v>700.95769999999993</v>
      </c>
    </row>
    <row r="25" spans="1:18" outlineLevel="2">
      <c r="A25" s="106"/>
      <c r="B25" s="72">
        <v>62910178</v>
      </c>
      <c r="C25" s="12" t="s">
        <v>6</v>
      </c>
      <c r="D25" s="13">
        <f>'Control Consumo R - 2016'!Q25</f>
        <v>60.420108333333332</v>
      </c>
      <c r="E25" s="13">
        <v>58.886000000000003</v>
      </c>
      <c r="F25" s="13">
        <v>63.385599999999997</v>
      </c>
      <c r="G25" s="13">
        <v>56.426000000000002</v>
      </c>
      <c r="H25" s="13">
        <v>59.149366999999998</v>
      </c>
      <c r="I25" s="13">
        <v>58.523935000000002</v>
      </c>
      <c r="J25" s="13">
        <v>59.266000000000005</v>
      </c>
      <c r="K25" s="13">
        <v>59.46</v>
      </c>
      <c r="L25" s="13">
        <v>62.466099999999997</v>
      </c>
      <c r="M25" s="13">
        <v>59.494</v>
      </c>
      <c r="N25" s="13">
        <v>61.771999999999998</v>
      </c>
      <c r="O25" s="13">
        <v>62.314</v>
      </c>
      <c r="P25" s="14">
        <v>62.938000000000002</v>
      </c>
      <c r="Q25" s="39">
        <f t="shared" si="0"/>
        <v>60.340083499999999</v>
      </c>
      <c r="R25" s="40">
        <f t="shared" si="1"/>
        <v>724.08100200000001</v>
      </c>
    </row>
    <row r="26" spans="1:18" outlineLevel="2">
      <c r="A26" s="106"/>
      <c r="B26" s="72">
        <v>62910179</v>
      </c>
      <c r="C26" s="12" t="s">
        <v>7</v>
      </c>
      <c r="D26" s="13">
        <f>'Control Consumo R - 2016'!Q26</f>
        <v>57.753683333333335</v>
      </c>
      <c r="E26" s="13">
        <v>62.059500000000007</v>
      </c>
      <c r="F26" s="13">
        <v>56.728000000000002</v>
      </c>
      <c r="G26" s="13">
        <v>60.095999999999997</v>
      </c>
      <c r="H26" s="13">
        <v>59.559800000000003</v>
      </c>
      <c r="I26" s="13">
        <v>56.277999999999999</v>
      </c>
      <c r="J26" s="13">
        <v>58.244</v>
      </c>
      <c r="K26" s="13">
        <v>60.72699999999999</v>
      </c>
      <c r="L26" s="13">
        <v>59.743499999999997</v>
      </c>
      <c r="M26" s="13">
        <v>56.335999999999999</v>
      </c>
      <c r="N26" s="13">
        <v>56.352000000000004</v>
      </c>
      <c r="O26" s="13">
        <v>56.343299999999999</v>
      </c>
      <c r="P26" s="14">
        <v>58.191999999999993</v>
      </c>
      <c r="Q26" s="39">
        <f t="shared" si="0"/>
        <v>58.388258333333319</v>
      </c>
      <c r="R26" s="40">
        <f t="shared" si="1"/>
        <v>700.65909999999985</v>
      </c>
    </row>
    <row r="27" spans="1:18" outlineLevel="2">
      <c r="A27" s="106"/>
      <c r="B27" s="72">
        <v>62910232</v>
      </c>
      <c r="C27" s="12" t="s">
        <v>8</v>
      </c>
      <c r="D27" s="13">
        <f>'Control Consumo R - 2016'!Q27</f>
        <v>57.330091666666668</v>
      </c>
      <c r="E27" s="13">
        <v>58.880299999999998</v>
      </c>
      <c r="F27" s="13">
        <v>57.034300000000002</v>
      </c>
      <c r="G27" s="13">
        <v>57.534199999999998</v>
      </c>
      <c r="H27" s="13">
        <v>57.426600000000001</v>
      </c>
      <c r="I27" s="13">
        <v>57.8262</v>
      </c>
      <c r="J27" s="13">
        <v>57.034300000000002</v>
      </c>
      <c r="K27" s="13">
        <v>57</v>
      </c>
      <c r="L27" s="13">
        <v>59.3645</v>
      </c>
      <c r="M27" s="13">
        <v>57</v>
      </c>
      <c r="N27" s="13">
        <v>57</v>
      </c>
      <c r="O27" s="13">
        <v>61.985199999999999</v>
      </c>
      <c r="P27" s="14">
        <v>57</v>
      </c>
      <c r="Q27" s="39">
        <f t="shared" si="0"/>
        <v>57.9238</v>
      </c>
      <c r="R27" s="40">
        <f t="shared" si="1"/>
        <v>695.0856</v>
      </c>
    </row>
    <row r="28" spans="1:18" outlineLevel="2">
      <c r="A28" s="106"/>
      <c r="B28" s="72">
        <v>62910233</v>
      </c>
      <c r="C28" s="12" t="s">
        <v>9</v>
      </c>
      <c r="D28" s="13">
        <f>'Control Consumo R - 2016'!Q28</f>
        <v>57.410383333333328</v>
      </c>
      <c r="E28" s="13">
        <v>57</v>
      </c>
      <c r="F28" s="13">
        <v>57.755600000000001</v>
      </c>
      <c r="G28" s="13">
        <v>57.034300000000002</v>
      </c>
      <c r="H28" s="13">
        <v>57</v>
      </c>
      <c r="I28" s="13">
        <v>57</v>
      </c>
      <c r="J28" s="13">
        <v>57.691200000000002</v>
      </c>
      <c r="K28" s="13">
        <v>57.171399999999998</v>
      </c>
      <c r="L28" s="13">
        <v>57</v>
      </c>
      <c r="M28" s="13">
        <v>57.171399999999998</v>
      </c>
      <c r="N28" s="13">
        <v>57.332999999999998</v>
      </c>
      <c r="O28" s="13">
        <v>58.131599999999999</v>
      </c>
      <c r="P28" s="14">
        <v>57.373999999999995</v>
      </c>
      <c r="Q28" s="39">
        <f t="shared" si="0"/>
        <v>57.305208333333333</v>
      </c>
      <c r="R28" s="40">
        <f t="shared" si="1"/>
        <v>687.66250000000002</v>
      </c>
    </row>
    <row r="29" spans="1:18" outlineLevel="2">
      <c r="A29" s="106"/>
      <c r="B29" s="72">
        <v>62910119</v>
      </c>
      <c r="C29" s="12" t="s">
        <v>10</v>
      </c>
      <c r="D29" s="13">
        <f>'Control Consumo R - 2016'!Q29</f>
        <v>55.783558333333325</v>
      </c>
      <c r="E29" s="13">
        <v>55.238</v>
      </c>
      <c r="F29" s="13">
        <v>55.021999999999998</v>
      </c>
      <c r="G29" s="13">
        <v>55.786000000000001</v>
      </c>
      <c r="H29" s="13">
        <v>57.016000000000005</v>
      </c>
      <c r="I29" s="13">
        <v>57.4</v>
      </c>
      <c r="J29" s="13">
        <v>57.567999999999998</v>
      </c>
      <c r="K29" s="13">
        <v>56.570000000000007</v>
      </c>
      <c r="L29" s="13">
        <v>57.384</v>
      </c>
      <c r="M29" s="13">
        <v>57.570000000000007</v>
      </c>
      <c r="N29" s="13">
        <v>57.078000000000003</v>
      </c>
      <c r="O29" s="13">
        <v>58.74</v>
      </c>
      <c r="P29" s="14">
        <v>59.972000000000001</v>
      </c>
      <c r="Q29" s="39">
        <f t="shared" si="0"/>
        <v>57.111999999999995</v>
      </c>
      <c r="R29" s="40">
        <f t="shared" si="1"/>
        <v>685.34399999999994</v>
      </c>
    </row>
    <row r="30" spans="1:18" outlineLevel="2">
      <c r="A30" s="106"/>
      <c r="B30" s="72">
        <v>62910235</v>
      </c>
      <c r="C30" s="12" t="s">
        <v>37</v>
      </c>
      <c r="D30" s="13">
        <f>'Control Consumo R - 2016'!Q30</f>
        <v>59.917855000000003</v>
      </c>
      <c r="E30" s="13">
        <v>58.176439999999999</v>
      </c>
      <c r="F30" s="13">
        <v>60.466320000000003</v>
      </c>
      <c r="G30" s="13">
        <v>58.9998</v>
      </c>
      <c r="H30" s="79">
        <v>58.823439999999998</v>
      </c>
      <c r="I30" s="13">
        <v>57.79992</v>
      </c>
      <c r="J30" s="13">
        <v>58.733159999999998</v>
      </c>
      <c r="K30" s="13">
        <v>58.59984</v>
      </c>
      <c r="L30" s="13">
        <v>58.466520000000003</v>
      </c>
      <c r="M30" s="13">
        <v>58.178420000000003</v>
      </c>
      <c r="N30" s="13">
        <v>62.900379999999998</v>
      </c>
      <c r="O30" s="13">
        <v>58.767040000000001</v>
      </c>
      <c r="P30" s="14">
        <v>69.665400000000005</v>
      </c>
      <c r="Q30" s="39">
        <f t="shared" si="0"/>
        <v>59.964723333333332</v>
      </c>
      <c r="R30" s="40">
        <f t="shared" si="1"/>
        <v>719.57668000000001</v>
      </c>
    </row>
    <row r="31" spans="1:18" outlineLevel="2">
      <c r="A31" s="106"/>
      <c r="B31" s="72">
        <v>62910340</v>
      </c>
      <c r="C31" s="12" t="s">
        <v>44</v>
      </c>
      <c r="D31" s="13">
        <f>'Control Consumo R - 2016'!Q31</f>
        <v>53.797545750000005</v>
      </c>
      <c r="E31" s="13">
        <v>51</v>
      </c>
      <c r="F31" s="13">
        <v>51.071770000000001</v>
      </c>
      <c r="G31" s="13">
        <v>51</v>
      </c>
      <c r="H31" s="13">
        <v>52.096727999999999</v>
      </c>
      <c r="I31" s="13">
        <v>52.730889000000005</v>
      </c>
      <c r="J31" s="13">
        <v>54.805346999999998</v>
      </c>
      <c r="K31" s="13">
        <v>51.89</v>
      </c>
      <c r="L31" s="13">
        <v>51</v>
      </c>
      <c r="M31" s="13">
        <v>51</v>
      </c>
      <c r="N31" s="13">
        <v>51</v>
      </c>
      <c r="O31" s="13">
        <v>51</v>
      </c>
      <c r="P31" s="14">
        <v>51</v>
      </c>
      <c r="Q31" s="39">
        <f t="shared" si="0"/>
        <v>51.632894499999999</v>
      </c>
      <c r="R31" s="40">
        <f t="shared" si="1"/>
        <v>619.59473400000002</v>
      </c>
    </row>
    <row r="32" spans="1:18" outlineLevel="2">
      <c r="A32" s="106"/>
      <c r="B32" s="75">
        <v>62910238</v>
      </c>
      <c r="C32" s="3" t="s">
        <v>48</v>
      </c>
      <c r="D32" s="13">
        <f>'Control Consumo R - 2016'!Q32</f>
        <v>56.054525000000005</v>
      </c>
      <c r="E32" s="76">
        <v>55.653100000000002</v>
      </c>
      <c r="F32" s="76">
        <v>69.109099999999998</v>
      </c>
      <c r="G32" s="76">
        <v>61.013100000000001</v>
      </c>
      <c r="H32" s="76">
        <v>55.611100000000008</v>
      </c>
      <c r="I32" s="76">
        <v>56.885100000000001</v>
      </c>
      <c r="J32" s="76">
        <v>56.324399999999997</v>
      </c>
      <c r="K32" s="76">
        <v>56.028900000000007</v>
      </c>
      <c r="L32" s="76">
        <v>57.5471</v>
      </c>
      <c r="M32" s="13">
        <v>60.160900000000005</v>
      </c>
      <c r="N32" s="76">
        <v>56.748400000000004</v>
      </c>
      <c r="O32" s="76">
        <v>59.4467</v>
      </c>
      <c r="P32" s="77">
        <v>60.446100000000001</v>
      </c>
      <c r="Q32" s="39">
        <f t="shared" si="0"/>
        <v>58.74783333333334</v>
      </c>
      <c r="R32" s="40">
        <f t="shared" si="1"/>
        <v>704.97400000000005</v>
      </c>
    </row>
    <row r="33" spans="1:19" outlineLevel="2">
      <c r="A33" s="106"/>
      <c r="B33" s="75">
        <v>62910342</v>
      </c>
      <c r="C33" s="3" t="s">
        <v>51</v>
      </c>
      <c r="D33" s="13">
        <f>'Control Consumo R - 2016'!Q33</f>
        <v>71.343708333333339</v>
      </c>
      <c r="E33" s="76">
        <v>71</v>
      </c>
      <c r="F33" s="76">
        <v>72.275099999999995</v>
      </c>
      <c r="G33" s="76">
        <v>82.196799999999996</v>
      </c>
      <c r="H33" s="76">
        <v>71</v>
      </c>
      <c r="I33" s="76">
        <v>71</v>
      </c>
      <c r="J33" s="76">
        <v>71.377700000000004</v>
      </c>
      <c r="K33" s="76">
        <v>71</v>
      </c>
      <c r="L33" s="76">
        <v>71.117999999999995</v>
      </c>
      <c r="M33" s="76">
        <v>71.034300000000002</v>
      </c>
      <c r="N33" s="76">
        <v>71.17</v>
      </c>
      <c r="O33" s="76">
        <v>71</v>
      </c>
      <c r="P33" s="77">
        <v>71.243499999999997</v>
      </c>
      <c r="Q33" s="39">
        <f t="shared" si="0"/>
        <v>72.117949999999993</v>
      </c>
      <c r="R33" s="40">
        <f t="shared" si="1"/>
        <v>865.41539999999998</v>
      </c>
    </row>
    <row r="34" spans="1:19" outlineLevel="2">
      <c r="A34" s="106"/>
      <c r="B34" s="75">
        <v>62910344</v>
      </c>
      <c r="C34" s="3" t="s">
        <v>56</v>
      </c>
      <c r="D34" s="13">
        <f>'Control Consumo R - 2016'!Q34</f>
        <v>73.473437083333337</v>
      </c>
      <c r="E34" s="76">
        <v>73.03</v>
      </c>
      <c r="F34" s="76">
        <v>73.03</v>
      </c>
      <c r="G34" s="76">
        <v>73.03</v>
      </c>
      <c r="H34" s="76">
        <v>73.064300000000003</v>
      </c>
      <c r="I34" s="76">
        <v>73.03</v>
      </c>
      <c r="J34" s="76">
        <v>73.194400000000002</v>
      </c>
      <c r="K34" s="76">
        <v>73.540199999999999</v>
      </c>
      <c r="L34" s="76">
        <v>74.884299999999996</v>
      </c>
      <c r="M34" s="76">
        <v>73.496299999999991</v>
      </c>
      <c r="N34" s="76">
        <v>73.03</v>
      </c>
      <c r="O34" s="76">
        <v>73.03</v>
      </c>
      <c r="P34" s="77">
        <v>73.03</v>
      </c>
      <c r="Q34" s="39">
        <f t="shared" ref="Q34:Q36" si="7">AVERAGE(E34:P34)</f>
        <v>73.282458333333338</v>
      </c>
      <c r="R34" s="40">
        <f t="shared" ref="R34:R36" si="8">SUM(E34:P34)</f>
        <v>879.3895</v>
      </c>
    </row>
    <row r="35" spans="1:19" outlineLevel="2">
      <c r="A35" s="106"/>
      <c r="B35" s="75"/>
      <c r="C35" s="3" t="s">
        <v>62</v>
      </c>
      <c r="D35" s="13">
        <f>'Control Consumo R - 2016'!Q35</f>
        <v>56.201232333333337</v>
      </c>
      <c r="E35" s="76">
        <v>57.551400000000001</v>
      </c>
      <c r="F35" s="76">
        <v>57</v>
      </c>
      <c r="G35" s="76">
        <v>58.208100000000002</v>
      </c>
      <c r="H35" s="76">
        <v>57.5535</v>
      </c>
      <c r="I35" s="76">
        <v>57.501800000000003</v>
      </c>
      <c r="J35" s="76">
        <v>57</v>
      </c>
      <c r="K35" s="76">
        <v>57.677300000000002</v>
      </c>
      <c r="L35" s="76">
        <v>57.234000000000002</v>
      </c>
      <c r="M35" s="76">
        <v>57.518000000000001</v>
      </c>
      <c r="N35" s="76">
        <v>57.358599999999996</v>
      </c>
      <c r="O35" s="76">
        <v>57.111999999999995</v>
      </c>
      <c r="P35" s="77">
        <v>57</v>
      </c>
      <c r="Q35" s="39">
        <f t="shared" si="7"/>
        <v>57.392891666666664</v>
      </c>
      <c r="R35" s="40">
        <f t="shared" si="8"/>
        <v>688.71469999999999</v>
      </c>
    </row>
    <row r="36" spans="1:19" outlineLevel="2">
      <c r="A36" s="107"/>
      <c r="B36" s="75"/>
      <c r="C36" s="3" t="s">
        <v>63</v>
      </c>
      <c r="D36" s="13">
        <f>'Control Consumo R - 2016'!Q36</f>
        <v>58.066732999999999</v>
      </c>
      <c r="E36" s="76">
        <v>59.331900000000005</v>
      </c>
      <c r="F36" s="76">
        <v>59</v>
      </c>
      <c r="G36" s="76">
        <v>59</v>
      </c>
      <c r="H36" s="76">
        <v>59</v>
      </c>
      <c r="I36" s="76">
        <v>59.340499999999999</v>
      </c>
      <c r="J36" s="76">
        <v>59.141300000000001</v>
      </c>
      <c r="K36" s="76">
        <v>59.349599999999995</v>
      </c>
      <c r="L36" s="76">
        <v>59.566400000000002</v>
      </c>
      <c r="M36" s="76">
        <v>59</v>
      </c>
      <c r="N36" s="76">
        <v>60.241199999999999</v>
      </c>
      <c r="O36" s="76">
        <v>59.554000000000002</v>
      </c>
      <c r="P36" s="77">
        <v>59.248000000000005</v>
      </c>
      <c r="Q36" s="39">
        <f t="shared" si="7"/>
        <v>59.314408333333347</v>
      </c>
      <c r="R36" s="40">
        <f t="shared" si="8"/>
        <v>711.77290000000016</v>
      </c>
    </row>
    <row r="37" spans="1:19" ht="15" outlineLevel="2" thickBot="1">
      <c r="A37" s="22" t="s">
        <v>32</v>
      </c>
      <c r="B37" s="68"/>
      <c r="C37" s="17"/>
      <c r="D37" s="18">
        <f t="shared" ref="D37:M37" si="9">SUBTOTAL(9,D20:D36)</f>
        <v>1016.31084075</v>
      </c>
      <c r="E37" s="18">
        <f t="shared" si="9"/>
        <v>1015.023272</v>
      </c>
      <c r="F37" s="18">
        <f t="shared" si="9"/>
        <v>1028.4260899999999</v>
      </c>
      <c r="G37" s="18">
        <f t="shared" si="9"/>
        <v>1031.4340000000002</v>
      </c>
      <c r="H37" s="18">
        <f t="shared" si="9"/>
        <v>1020.3975679999999</v>
      </c>
      <c r="I37" s="18">
        <f t="shared" si="9"/>
        <v>1017.42888</v>
      </c>
      <c r="J37" s="18">
        <f t="shared" si="9"/>
        <v>899.34220699999992</v>
      </c>
      <c r="K37" s="18">
        <f t="shared" si="9"/>
        <v>1016.9385400000001</v>
      </c>
      <c r="L37" s="18">
        <f t="shared" si="9"/>
        <v>1022.9529199999999</v>
      </c>
      <c r="M37" s="18">
        <f t="shared" si="9"/>
        <v>1015.33362</v>
      </c>
      <c r="N37" s="18">
        <f>SUBTOTAL(9,N20:N36)</f>
        <v>1022.85418</v>
      </c>
      <c r="O37" s="18">
        <f t="shared" ref="O37:P37" si="10">SUBTOTAL(9,O20:O36)</f>
        <v>1027.62924</v>
      </c>
      <c r="P37" s="18">
        <f t="shared" si="10"/>
        <v>1037.0968</v>
      </c>
      <c r="Q37" s="41">
        <f>SUM(Q20:Q36)</f>
        <v>1012.9047764166667</v>
      </c>
      <c r="R37" s="46">
        <f t="shared" si="1"/>
        <v>12154.857317</v>
      </c>
      <c r="S37" s="93"/>
    </row>
    <row r="38" spans="1:19" outlineLevel="1">
      <c r="A38" s="103" t="s">
        <v>18</v>
      </c>
      <c r="B38" s="64">
        <v>62910182</v>
      </c>
      <c r="C38" s="12" t="s">
        <v>19</v>
      </c>
      <c r="D38" s="13">
        <f>'Control Consumo R - 2016'!Q38</f>
        <v>53.202429833333333</v>
      </c>
      <c r="E38" s="13">
        <v>48.760000000000005</v>
      </c>
      <c r="F38" s="13">
        <v>48.760000000000005</v>
      </c>
      <c r="G38" s="13">
        <v>49.297900000000006</v>
      </c>
      <c r="H38" s="13">
        <v>48.760000000000005</v>
      </c>
      <c r="I38" s="13">
        <v>49.389600000000009</v>
      </c>
      <c r="J38" s="13">
        <v>48.760000000000005</v>
      </c>
      <c r="K38" s="13">
        <v>50.092258000000001</v>
      </c>
      <c r="L38" s="13">
        <v>48.405484000000001</v>
      </c>
      <c r="M38" s="13">
        <v>49.58</v>
      </c>
      <c r="N38" s="13">
        <v>50.494499999999995</v>
      </c>
      <c r="O38" s="13">
        <v>49.58</v>
      </c>
      <c r="P38" s="14">
        <v>49.58</v>
      </c>
      <c r="Q38" s="39">
        <f t="shared" si="0"/>
        <v>49.288311833333346</v>
      </c>
      <c r="R38" s="40">
        <f t="shared" si="1"/>
        <v>591.45974200000012</v>
      </c>
    </row>
    <row r="39" spans="1:19" outlineLevel="2">
      <c r="A39" s="104"/>
      <c r="B39" s="67">
        <v>62910182</v>
      </c>
      <c r="C39" s="12" t="s">
        <v>20</v>
      </c>
      <c r="D39" s="13">
        <f>'Control Consumo R - 2016'!Q39</f>
        <v>41.600833333333334</v>
      </c>
      <c r="E39" s="13">
        <v>41.56</v>
      </c>
      <c r="F39" s="13">
        <v>41.688000000000002</v>
      </c>
      <c r="G39" s="13">
        <v>41.951300000000003</v>
      </c>
      <c r="H39" s="13">
        <v>41.56</v>
      </c>
      <c r="I39" s="13">
        <v>41.56</v>
      </c>
      <c r="J39" s="13">
        <v>41.56</v>
      </c>
      <c r="K39" s="13">
        <v>41.56</v>
      </c>
      <c r="L39" s="13">
        <v>41.912799999999997</v>
      </c>
      <c r="M39" s="13">
        <v>41.56</v>
      </c>
      <c r="N39" s="13">
        <v>41.56</v>
      </c>
      <c r="O39" s="13">
        <v>41.56</v>
      </c>
      <c r="P39" s="14">
        <v>41.56</v>
      </c>
      <c r="Q39" s="39">
        <f t="shared" ref="Q39:Q42" si="11">AVERAGE(E39:P39)</f>
        <v>41.632674999999999</v>
      </c>
      <c r="R39" s="40">
        <f t="shared" ref="R39:R42" si="12">SUM(E39:P39)</f>
        <v>499.59210000000002</v>
      </c>
    </row>
    <row r="40" spans="1:19" outlineLevel="2">
      <c r="A40" s="104"/>
      <c r="B40" s="67"/>
      <c r="C40" s="12" t="s">
        <v>55</v>
      </c>
      <c r="D40" s="13">
        <f>'Control Consumo R - 2016'!Q40</f>
        <v>47</v>
      </c>
      <c r="E40" s="13">
        <v>47</v>
      </c>
      <c r="F40" s="13">
        <v>47</v>
      </c>
      <c r="G40" s="13">
        <v>47</v>
      </c>
      <c r="H40" s="13">
        <v>47</v>
      </c>
      <c r="I40" s="13">
        <v>47</v>
      </c>
      <c r="J40" s="13">
        <v>47</v>
      </c>
      <c r="K40" s="13">
        <v>47</v>
      </c>
      <c r="L40" s="13">
        <v>47</v>
      </c>
      <c r="M40" s="13">
        <v>47</v>
      </c>
      <c r="N40" s="13">
        <v>47</v>
      </c>
      <c r="O40" s="13">
        <v>47.341999999999999</v>
      </c>
      <c r="P40" s="14">
        <v>47</v>
      </c>
      <c r="Q40" s="39">
        <f t="shared" si="11"/>
        <v>47.028500000000001</v>
      </c>
      <c r="R40" s="40">
        <f t="shared" si="12"/>
        <v>564.34199999999998</v>
      </c>
    </row>
    <row r="41" spans="1:19" outlineLevel="2">
      <c r="A41" s="104"/>
      <c r="B41" s="67">
        <v>62910182</v>
      </c>
      <c r="C41" s="12" t="s">
        <v>38</v>
      </c>
      <c r="D41" s="13">
        <f>'Control Consumo R - 2016'!Q41</f>
        <v>41.123725</v>
      </c>
      <c r="E41" s="13">
        <v>41</v>
      </c>
      <c r="F41" s="13">
        <v>41</v>
      </c>
      <c r="G41" s="13">
        <v>41</v>
      </c>
      <c r="H41" s="13">
        <v>41.033999999999999</v>
      </c>
      <c r="I41" s="13">
        <v>41.876999999999995</v>
      </c>
      <c r="J41" s="13">
        <v>41</v>
      </c>
      <c r="K41" s="13">
        <v>41</v>
      </c>
      <c r="L41" s="13">
        <v>41</v>
      </c>
      <c r="M41" s="13">
        <v>41</v>
      </c>
      <c r="N41" s="13">
        <v>41</v>
      </c>
      <c r="O41" s="13">
        <v>41</v>
      </c>
      <c r="P41" s="14">
        <v>41</v>
      </c>
      <c r="Q41" s="39">
        <f t="shared" si="11"/>
        <v>41.075916666666664</v>
      </c>
      <c r="R41" s="40">
        <f t="shared" si="12"/>
        <v>492.911</v>
      </c>
    </row>
    <row r="42" spans="1:19" outlineLevel="2">
      <c r="A42" s="104"/>
      <c r="B42" s="67">
        <v>62910182</v>
      </c>
      <c r="C42" s="12" t="s">
        <v>39</v>
      </c>
      <c r="D42" s="13">
        <f>'Control Consumo R - 2016'!Q42</f>
        <v>42.132502833333334</v>
      </c>
      <c r="E42" s="13">
        <v>43</v>
      </c>
      <c r="F42" s="13">
        <v>43</v>
      </c>
      <c r="G42" s="13">
        <v>43</v>
      </c>
      <c r="H42" s="13">
        <v>43</v>
      </c>
      <c r="I42" s="13">
        <v>43</v>
      </c>
      <c r="J42" s="13">
        <v>43</v>
      </c>
      <c r="K42" s="13">
        <v>43</v>
      </c>
      <c r="L42" s="13">
        <v>43</v>
      </c>
      <c r="M42" s="13">
        <v>13</v>
      </c>
      <c r="N42" s="13">
        <v>43</v>
      </c>
      <c r="O42" s="13">
        <v>43</v>
      </c>
      <c r="P42" s="14">
        <v>43</v>
      </c>
      <c r="Q42" s="39">
        <f t="shared" si="11"/>
        <v>40.5</v>
      </c>
      <c r="R42" s="40">
        <f t="shared" si="12"/>
        <v>486</v>
      </c>
    </row>
    <row r="43" spans="1:19" ht="15" outlineLevel="2" thickBot="1">
      <c r="A43" s="22" t="s">
        <v>33</v>
      </c>
      <c r="B43" s="68"/>
      <c r="C43" s="17"/>
      <c r="D43" s="18">
        <f>'Control Consumo R - 2016'!Q43</f>
        <v>225.05949100000004</v>
      </c>
      <c r="E43" s="18">
        <f>SUBTOTAL(9,E38:E42)</f>
        <v>221.32</v>
      </c>
      <c r="F43" s="18">
        <f t="shared" ref="F43:P43" si="13">SUBTOTAL(9,F38:F42)</f>
        <v>221.44800000000001</v>
      </c>
      <c r="G43" s="18">
        <f t="shared" si="13"/>
        <v>222.2492</v>
      </c>
      <c r="H43" s="18">
        <f t="shared" si="13"/>
        <v>221.35399999999998</v>
      </c>
      <c r="I43" s="18">
        <f t="shared" si="13"/>
        <v>222.82659999999998</v>
      </c>
      <c r="J43" s="18">
        <f t="shared" si="13"/>
        <v>221.32</v>
      </c>
      <c r="K43" s="18">
        <f t="shared" si="13"/>
        <v>222.65225800000002</v>
      </c>
      <c r="L43" s="18">
        <f t="shared" si="13"/>
        <v>221.31828400000001</v>
      </c>
      <c r="M43" s="18">
        <f t="shared" si="13"/>
        <v>192.14</v>
      </c>
      <c r="N43" s="18">
        <f t="shared" si="13"/>
        <v>223.05449999999999</v>
      </c>
      <c r="O43" s="18">
        <f t="shared" si="13"/>
        <v>222.482</v>
      </c>
      <c r="P43" s="19">
        <f t="shared" si="13"/>
        <v>222.14</v>
      </c>
      <c r="Q43" s="41">
        <f>SUM(Q38:Q42)</f>
        <v>219.52540350000001</v>
      </c>
      <c r="R43" s="46">
        <f>SUM(E43:P43)</f>
        <v>2634.304842</v>
      </c>
    </row>
    <row r="44" spans="1:19" ht="15" outlineLevel="1" thickBot="1">
      <c r="A44" s="24"/>
      <c r="B44" s="24"/>
      <c r="C44" s="25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7"/>
      <c r="Q44" s="47"/>
      <c r="R44" s="48"/>
    </row>
    <row r="45" spans="1:19" ht="15" outlineLevel="1" thickBot="1">
      <c r="A45" s="28" t="s">
        <v>27</v>
      </c>
      <c r="B45" s="69"/>
      <c r="C45" s="29"/>
      <c r="D45" s="30">
        <f>'Control Consumo R - 2016'!Q45</f>
        <v>5634.0522945833327</v>
      </c>
      <c r="E45" s="30">
        <f t="shared" ref="E45:P45" si="14">SUBTOTAL(9,E2:E42)</f>
        <v>7198.5545900000016</v>
      </c>
      <c r="F45" s="30">
        <f t="shared" si="14"/>
        <v>7655.8394960000014</v>
      </c>
      <c r="G45" s="30">
        <f t="shared" si="14"/>
        <v>7944.7568509999992</v>
      </c>
      <c r="H45" s="30">
        <f t="shared" si="14"/>
        <v>8105.8119550000001</v>
      </c>
      <c r="I45" s="30">
        <f t="shared" si="14"/>
        <v>7986.2310200000038</v>
      </c>
      <c r="J45" s="30">
        <f t="shared" si="14"/>
        <v>8017.2945070000014</v>
      </c>
      <c r="K45" s="30">
        <f>SUBTOTAL(9,K2:K42)</f>
        <v>7982.8564979999992</v>
      </c>
      <c r="L45" s="30">
        <f t="shared" si="14"/>
        <v>8276.0490600000012</v>
      </c>
      <c r="M45" s="30">
        <f t="shared" si="14"/>
        <v>8109.2114329999995</v>
      </c>
      <c r="N45" s="30">
        <f t="shared" si="14"/>
        <v>8139.2300000000005</v>
      </c>
      <c r="O45" s="30">
        <f t="shared" si="14"/>
        <v>8198.5655399999996</v>
      </c>
      <c r="P45" s="31">
        <f t="shared" si="14"/>
        <v>8737.860577999998</v>
      </c>
      <c r="Q45" s="43">
        <f>AVERAGE(E45:P45)</f>
        <v>8029.3551273333333</v>
      </c>
      <c r="R45" s="44">
        <f t="shared" si="1"/>
        <v>96352.261528000003</v>
      </c>
    </row>
    <row r="46" spans="1:19" ht="15" thickBot="1">
      <c r="A46" s="25"/>
      <c r="B46" s="25"/>
      <c r="C46" s="25"/>
      <c r="D46" s="25">
        <f>'Control Consumo R - 2016'!Q44</f>
        <v>0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32"/>
      <c r="Q46" s="47"/>
      <c r="R46" s="48"/>
    </row>
    <row r="47" spans="1:19" ht="15" thickBot="1">
      <c r="A47" s="33" t="s">
        <v>26</v>
      </c>
      <c r="B47" s="70"/>
      <c r="C47" s="29"/>
      <c r="D47" s="30">
        <f>'Control Consumo R - 2016'!Q45</f>
        <v>5634.0522945833327</v>
      </c>
      <c r="E47" s="30">
        <v>7198.5</v>
      </c>
      <c r="F47" s="30">
        <v>7655.35</v>
      </c>
      <c r="G47" s="30">
        <v>7944.26</v>
      </c>
      <c r="H47" s="30">
        <v>8105.31</v>
      </c>
      <c r="I47" s="30">
        <v>7986.23</v>
      </c>
      <c r="J47" s="30">
        <v>8017.29</v>
      </c>
      <c r="K47" s="30">
        <v>7982.86</v>
      </c>
      <c r="L47" s="30">
        <v>8276.0499999999993</v>
      </c>
      <c r="M47" s="30">
        <v>8109.78</v>
      </c>
      <c r="N47" s="30">
        <v>8139.23</v>
      </c>
      <c r="O47" s="30">
        <v>8198.57</v>
      </c>
      <c r="P47" s="31">
        <v>8737.86</v>
      </c>
      <c r="Q47" s="43">
        <f>AVERAGE(E47:P47)</f>
        <v>8029.2741666666661</v>
      </c>
      <c r="R47" s="44">
        <f t="shared" si="1"/>
        <v>96351.29</v>
      </c>
    </row>
    <row r="48" spans="1:19" s="37" customFormat="1">
      <c r="A48" s="35"/>
      <c r="B48" s="35"/>
      <c r="C48" s="35"/>
      <c r="D48" s="35"/>
      <c r="E48" s="38"/>
      <c r="F48" s="38"/>
      <c r="G48" s="38"/>
      <c r="H48" s="38"/>
      <c r="I48" s="79"/>
      <c r="J48" s="38"/>
      <c r="K48" s="79"/>
      <c r="L48" s="38"/>
      <c r="M48" s="79"/>
      <c r="N48" s="38"/>
      <c r="O48" s="79"/>
      <c r="P48" s="38"/>
      <c r="Q48" s="79"/>
      <c r="R48" s="79"/>
    </row>
    <row r="49" spans="5:16">
      <c r="E49" s="38"/>
      <c r="I49" s="38"/>
      <c r="J49" s="38"/>
      <c r="K49" s="38"/>
      <c r="L49" s="38"/>
      <c r="M49" s="38"/>
      <c r="O49" s="38"/>
      <c r="P49" s="38"/>
    </row>
    <row r="50" spans="5:16">
      <c r="M50" s="38"/>
    </row>
    <row r="51" spans="5:16">
      <c r="I51" s="38"/>
    </row>
    <row r="52" spans="5:16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4" spans="5:16">
      <c r="I54" s="38"/>
    </row>
  </sheetData>
  <mergeCells count="4">
    <mergeCell ref="A2:A7"/>
    <mergeCell ref="A9:A18"/>
    <mergeCell ref="A38:A42"/>
    <mergeCell ref="A20:A3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0"/>
  <sheetViews>
    <sheetView topLeftCell="B37" workbookViewId="0">
      <selection activeCell="Q6" sqref="Q6"/>
    </sheetView>
  </sheetViews>
  <sheetFormatPr baseColWidth="10" defaultColWidth="11.44140625" defaultRowHeight="14.4" outlineLevelRow="2"/>
  <cols>
    <col min="1" max="1" width="25.44140625" style="35" customWidth="1"/>
    <col min="2" max="2" width="10" style="35" bestFit="1" customWidth="1"/>
    <col min="3" max="3" width="15" style="35" bestFit="1" customWidth="1"/>
    <col min="4" max="4" width="14.109375" style="35" bestFit="1" customWidth="1"/>
    <col min="5" max="5" width="13.6640625" style="79" bestFit="1" customWidth="1"/>
    <col min="6" max="7" width="12.6640625" style="79" bestFit="1" customWidth="1"/>
    <col min="8" max="10" width="12" style="79" bestFit="1" customWidth="1"/>
    <col min="11" max="14" width="11.5546875" style="79" bestFit="1" customWidth="1"/>
    <col min="15" max="15" width="12.33203125" style="79" bestFit="1" customWidth="1"/>
    <col min="16" max="16" width="11.5546875" style="79" bestFit="1" customWidth="1"/>
    <col min="17" max="17" width="14.109375" style="79" bestFit="1" customWidth="1"/>
    <col min="18" max="18" width="13.5546875" style="79" bestFit="1" customWidth="1"/>
    <col min="19" max="16384" width="11.44140625" style="35"/>
  </cols>
  <sheetData>
    <row r="1" spans="1:18" ht="15" thickBot="1">
      <c r="A1" s="3"/>
      <c r="B1" s="78" t="s">
        <v>47</v>
      </c>
      <c r="C1" s="3"/>
      <c r="D1" s="5" t="str">
        <f>'Control Consumo R - 2017'!Q1</f>
        <v>Promedio 2017</v>
      </c>
      <c r="E1" s="5">
        <v>43101</v>
      </c>
      <c r="F1" s="5">
        <v>43132</v>
      </c>
      <c r="G1" s="5">
        <v>43160</v>
      </c>
      <c r="H1" s="5">
        <v>43191</v>
      </c>
      <c r="I1" s="5">
        <v>43221</v>
      </c>
      <c r="J1" s="5">
        <v>43252</v>
      </c>
      <c r="K1" s="5">
        <v>43282</v>
      </c>
      <c r="L1" s="5">
        <v>43313</v>
      </c>
      <c r="M1" s="5">
        <v>43344</v>
      </c>
      <c r="N1" s="5">
        <v>43374</v>
      </c>
      <c r="O1" s="5">
        <v>43405</v>
      </c>
      <c r="P1" s="5">
        <v>43435</v>
      </c>
      <c r="Q1" s="42" t="s">
        <v>66</v>
      </c>
      <c r="R1" s="34" t="s">
        <v>69</v>
      </c>
    </row>
    <row r="2" spans="1:18" outlineLevel="2">
      <c r="A2" s="105" t="s">
        <v>0</v>
      </c>
      <c r="B2" s="73">
        <v>62910182</v>
      </c>
      <c r="C2" s="9" t="s">
        <v>22</v>
      </c>
      <c r="D2" s="10">
        <f>'Control Consumo R - 2017'!Q2</f>
        <v>1999.4554333333335</v>
      </c>
      <c r="E2" s="10">
        <v>2014.5489</v>
      </c>
      <c r="F2" s="10">
        <f>2049.8066-48</f>
        <v>2001.8065999999999</v>
      </c>
      <c r="G2" s="10">
        <v>1994.9373000000001</v>
      </c>
      <c r="H2" s="10">
        <v>1997.6682000000001</v>
      </c>
      <c r="I2" s="10">
        <v>1998.8999000000001</v>
      </c>
      <c r="J2" s="10">
        <f>2157.8512-119.37</f>
        <v>2038.4812000000002</v>
      </c>
      <c r="K2" s="10">
        <v>1997.48</v>
      </c>
      <c r="L2" s="13">
        <f>2168.8085-168</f>
        <v>2000.8085000000001</v>
      </c>
      <c r="M2" s="10">
        <v>1991.8887999999999</v>
      </c>
      <c r="N2" s="10">
        <v>1988.6545000000001</v>
      </c>
      <c r="O2" s="10">
        <v>1976.1866</v>
      </c>
      <c r="P2" s="11">
        <f>2433.6177-458.55</f>
        <v>1975.0676999999998</v>
      </c>
      <c r="Q2" s="45">
        <f t="shared" ref="Q2:Q47" si="0">AVERAGE(E2:P2)</f>
        <v>1998.0356833333335</v>
      </c>
      <c r="R2" s="36">
        <f>SUM(E2:P2)</f>
        <v>23976.428200000002</v>
      </c>
    </row>
    <row r="3" spans="1:18" outlineLevel="2">
      <c r="A3" s="106"/>
      <c r="B3" s="80">
        <v>62910036</v>
      </c>
      <c r="C3" s="12" t="s">
        <v>21</v>
      </c>
      <c r="D3" s="13">
        <f>'Control Consumo R - 2017'!Q3+80</f>
        <v>262.55526716666679</v>
      </c>
      <c r="E3" s="13">
        <f>99.5+62.5</f>
        <v>162</v>
      </c>
      <c r="F3" s="13">
        <f>123.5+48+62.5</f>
        <v>234</v>
      </c>
      <c r="G3" s="13">
        <f>195.5+62.5</f>
        <v>258</v>
      </c>
      <c r="H3" s="13">
        <f>27.5+62.5</f>
        <v>90</v>
      </c>
      <c r="I3" s="13">
        <f>27.5+62.5</f>
        <v>90</v>
      </c>
      <c r="J3" s="79">
        <f>27.5+119.37+62.25</f>
        <v>209.12</v>
      </c>
      <c r="K3" s="13">
        <v>90</v>
      </c>
      <c r="L3" s="13">
        <f>168+51.5+62.5</f>
        <v>282</v>
      </c>
      <c r="M3" s="13">
        <f>27.5+62.5</f>
        <v>90</v>
      </c>
      <c r="N3" s="13">
        <f>27.5+62.5</f>
        <v>90</v>
      </c>
      <c r="O3" s="13">
        <f>51.5+62.5</f>
        <v>114</v>
      </c>
      <c r="P3" s="14">
        <f>51.5+458.55+62.5</f>
        <v>572.54999999999995</v>
      </c>
      <c r="Q3" s="39">
        <f t="shared" si="0"/>
        <v>190.13916666666668</v>
      </c>
      <c r="R3" s="40">
        <f t="shared" ref="R3:R53" si="1">SUM(E3:P3)</f>
        <v>2281.67</v>
      </c>
    </row>
    <row r="4" spans="1:18" outlineLevel="2">
      <c r="A4" s="106"/>
      <c r="B4" s="72">
        <v>62910182</v>
      </c>
      <c r="C4" s="12" t="s">
        <v>25</v>
      </c>
      <c r="D4" s="13">
        <f>'Control Consumo R - 2017'!Q4</f>
        <v>3956.9931285833331</v>
      </c>
      <c r="E4" s="13">
        <v>4277.6225800000002</v>
      </c>
      <c r="F4" s="13">
        <v>4275.3</v>
      </c>
      <c r="G4" s="13">
        <v>4275.3</v>
      </c>
      <c r="H4" s="13">
        <v>4275.3</v>
      </c>
      <c r="I4" s="13">
        <v>4275.3</v>
      </c>
      <c r="J4" s="13">
        <v>4275.3</v>
      </c>
      <c r="K4" s="13">
        <v>4275.3</v>
      </c>
      <c r="L4" s="13">
        <v>4276.9658090000003</v>
      </c>
      <c r="M4" s="13">
        <f>4457.87+54.37</f>
        <v>4512.24</v>
      </c>
      <c r="N4" s="13">
        <v>4426.57</v>
      </c>
      <c r="O4" s="13">
        <v>4426.57</v>
      </c>
      <c r="P4" s="14">
        <v>4426.57</v>
      </c>
      <c r="Q4" s="39">
        <f t="shared" si="0"/>
        <v>4333.1948657499997</v>
      </c>
      <c r="R4" s="40">
        <f t="shared" ref="R4:R7" si="2">SUM(E4:P4)</f>
        <v>51998.338388999997</v>
      </c>
    </row>
    <row r="5" spans="1:18" outlineLevel="2">
      <c r="A5" s="106"/>
      <c r="B5" s="73">
        <v>62910182</v>
      </c>
      <c r="C5" s="12" t="s">
        <v>57</v>
      </c>
      <c r="D5" s="13">
        <f>'Control Consumo R - 2017'!Q5</f>
        <v>107.07490324999999</v>
      </c>
      <c r="E5" s="13">
        <v>151.46199999999999</v>
      </c>
      <c r="F5" s="13">
        <v>151.46199999999999</v>
      </c>
      <c r="G5" s="13">
        <v>151.46199999999999</v>
      </c>
      <c r="H5" s="13">
        <v>151.46199999999999</v>
      </c>
      <c r="I5" s="13">
        <v>151.46199999999999</v>
      </c>
      <c r="J5" s="13">
        <v>151.46199999999999</v>
      </c>
      <c r="K5" s="13">
        <v>151.46</v>
      </c>
      <c r="L5" s="13">
        <v>151.46199999999999</v>
      </c>
      <c r="M5" s="13">
        <v>151.46199999999999</v>
      </c>
      <c r="N5" s="13">
        <v>151.46199999999999</v>
      </c>
      <c r="O5" s="13">
        <v>151.46199999999999</v>
      </c>
      <c r="P5" s="14">
        <v>151.46199999999999</v>
      </c>
      <c r="Q5" s="39">
        <f t="shared" si="0"/>
        <v>151.46183333333332</v>
      </c>
      <c r="R5" s="40">
        <f t="shared" si="2"/>
        <v>1817.5419999999999</v>
      </c>
    </row>
    <row r="6" spans="1:18" outlineLevel="2">
      <c r="A6" s="106"/>
      <c r="B6" s="72">
        <v>62910182</v>
      </c>
      <c r="C6" s="12" t="s">
        <v>34</v>
      </c>
      <c r="D6" s="13">
        <f>'Control Consumo R - 2017'!Q6</f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39"/>
      <c r="R6" s="40">
        <f t="shared" si="2"/>
        <v>0</v>
      </c>
    </row>
    <row r="7" spans="1:18" outlineLevel="2">
      <c r="A7" s="107"/>
      <c r="B7" s="72">
        <v>62910182</v>
      </c>
      <c r="C7" s="12" t="s">
        <v>24</v>
      </c>
      <c r="D7" s="13">
        <v>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39"/>
      <c r="R7" s="40">
        <f t="shared" si="2"/>
        <v>0</v>
      </c>
    </row>
    <row r="8" spans="1:18" ht="15" outlineLevel="1" thickBot="1">
      <c r="A8" s="16" t="s">
        <v>28</v>
      </c>
      <c r="B8" s="65">
        <v>62910182</v>
      </c>
      <c r="C8" s="17"/>
      <c r="D8" s="18">
        <f>'Control Consumo R - 2017'!Q8</f>
        <v>6246.0787323333334</v>
      </c>
      <c r="E8" s="18">
        <f>SUBTOTAL(9,E2:E7)</f>
        <v>6605.6334800000004</v>
      </c>
      <c r="F8" s="18">
        <f t="shared" ref="F8:P8" si="3">SUBTOTAL(9,F2:F7)</f>
        <v>6662.5686000000005</v>
      </c>
      <c r="G8" s="18">
        <f t="shared" si="3"/>
        <v>6679.6993000000002</v>
      </c>
      <c r="H8" s="18">
        <f t="shared" si="3"/>
        <v>6514.4302000000007</v>
      </c>
      <c r="I8" s="18">
        <f t="shared" si="3"/>
        <v>6515.661900000001</v>
      </c>
      <c r="J8" s="18">
        <f t="shared" si="3"/>
        <v>6674.3631999999998</v>
      </c>
      <c r="K8" s="18">
        <f>SUBTOTAL(9,K2:K7)</f>
        <v>6514.2400000000007</v>
      </c>
      <c r="L8" s="18">
        <f t="shared" si="3"/>
        <v>6711.2363089999999</v>
      </c>
      <c r="M8" s="18">
        <f t="shared" si="3"/>
        <v>6745.5907999999999</v>
      </c>
      <c r="N8" s="18">
        <f t="shared" si="3"/>
        <v>6656.6864999999998</v>
      </c>
      <c r="O8" s="18">
        <f t="shared" si="3"/>
        <v>6668.2186000000002</v>
      </c>
      <c r="P8" s="19">
        <f t="shared" si="3"/>
        <v>7125.6496999999999</v>
      </c>
      <c r="Q8" s="41">
        <f>SUM(Q2:Q7)</f>
        <v>6672.8315490833338</v>
      </c>
      <c r="R8" s="46">
        <f t="shared" si="1"/>
        <v>80073.978588999991</v>
      </c>
    </row>
    <row r="9" spans="1:18" outlineLevel="2">
      <c r="A9" s="103" t="s">
        <v>29</v>
      </c>
      <c r="B9" s="66">
        <v>62910106</v>
      </c>
      <c r="C9" s="21" t="s">
        <v>11</v>
      </c>
      <c r="D9" s="10">
        <f>'Control Consumo R - 2017'!Q9</f>
        <v>47.618338749999999</v>
      </c>
      <c r="E9" s="10">
        <v>45.084000000000003</v>
      </c>
      <c r="F9" s="10">
        <v>45</v>
      </c>
      <c r="G9" s="10">
        <v>45</v>
      </c>
      <c r="H9" s="10">
        <v>45</v>
      </c>
      <c r="I9" s="10">
        <v>45</v>
      </c>
      <c r="J9" s="10">
        <v>45</v>
      </c>
      <c r="K9" s="10">
        <v>45</v>
      </c>
      <c r="L9" s="10">
        <v>45</v>
      </c>
      <c r="M9" s="10">
        <v>45</v>
      </c>
      <c r="N9" s="10">
        <v>47.2774</v>
      </c>
      <c r="O9" s="10">
        <v>45</v>
      </c>
      <c r="P9" s="11">
        <v>45.064</v>
      </c>
      <c r="Q9" s="45">
        <f t="shared" si="0"/>
        <v>45.202116666666662</v>
      </c>
      <c r="R9" s="36">
        <f t="shared" si="1"/>
        <v>542.42539999999997</v>
      </c>
    </row>
    <row r="10" spans="1:18" outlineLevel="2">
      <c r="A10" s="104"/>
      <c r="B10" s="67">
        <v>62910104</v>
      </c>
      <c r="C10" s="12" t="s">
        <v>12</v>
      </c>
      <c r="D10" s="13">
        <f>'Control Consumo R - 2017'!Q10</f>
        <v>49.32403333333334</v>
      </c>
      <c r="E10" s="13">
        <v>48.512</v>
      </c>
      <c r="F10" s="13">
        <v>48.771999999999998</v>
      </c>
      <c r="G10" s="13">
        <v>48.5</v>
      </c>
      <c r="H10" s="13">
        <v>50.167999999999999</v>
      </c>
      <c r="I10" s="13">
        <v>49.271999999999998</v>
      </c>
      <c r="J10" s="13">
        <v>48.57</v>
      </c>
      <c r="K10" s="13">
        <v>49.45</v>
      </c>
      <c r="L10" s="13">
        <v>48.555999999999997</v>
      </c>
      <c r="M10" s="13">
        <v>48.844000000000001</v>
      </c>
      <c r="N10" s="13">
        <v>67.711613</v>
      </c>
      <c r="O10" s="13">
        <v>92.652000000000001</v>
      </c>
      <c r="P10" s="14">
        <v>33.622</v>
      </c>
      <c r="Q10" s="39">
        <f t="shared" si="0"/>
        <v>52.885801083333327</v>
      </c>
      <c r="R10" s="40">
        <f t="shared" si="1"/>
        <v>634.62961299999995</v>
      </c>
    </row>
    <row r="11" spans="1:18" outlineLevel="2">
      <c r="A11" s="104"/>
      <c r="B11" s="67">
        <v>62910102</v>
      </c>
      <c r="C11" s="12" t="s">
        <v>13</v>
      </c>
      <c r="D11" s="13">
        <f>'Control Consumo R - 2017'!Q11</f>
        <v>69.841858333333334</v>
      </c>
      <c r="E11" s="13">
        <v>69.552300000000002</v>
      </c>
      <c r="F11" s="13">
        <v>69.034300000000002</v>
      </c>
      <c r="G11" s="13">
        <v>69.194699999999997</v>
      </c>
      <c r="H11" s="13">
        <v>69</v>
      </c>
      <c r="I11" s="13">
        <v>69.068100000000001</v>
      </c>
      <c r="J11" s="13">
        <v>69</v>
      </c>
      <c r="K11" s="88">
        <v>69</v>
      </c>
      <c r="L11" s="13">
        <v>69.034300000000002</v>
      </c>
      <c r="M11" s="13">
        <v>69</v>
      </c>
      <c r="N11" s="13">
        <v>69</v>
      </c>
      <c r="O11" s="13">
        <v>69</v>
      </c>
      <c r="P11" s="14">
        <v>69</v>
      </c>
      <c r="Q11" s="39">
        <f t="shared" si="0"/>
        <v>69.07364166666666</v>
      </c>
      <c r="R11" s="40">
        <f t="shared" si="1"/>
        <v>828.88369999999998</v>
      </c>
    </row>
    <row r="12" spans="1:18" outlineLevel="2">
      <c r="A12" s="104"/>
      <c r="B12" s="67">
        <v>62910105</v>
      </c>
      <c r="C12" s="12" t="s">
        <v>14</v>
      </c>
      <c r="D12" s="13">
        <f>'Control Consumo R - 2017'!Q12</f>
        <v>47.029958333333333</v>
      </c>
      <c r="E12" s="13">
        <v>45.967799999999997</v>
      </c>
      <c r="F12" s="13">
        <v>45.096000000000004</v>
      </c>
      <c r="G12" s="13">
        <v>46.6175</v>
      </c>
      <c r="H12" s="13">
        <v>45.072000000000003</v>
      </c>
      <c r="I12" s="13">
        <v>45.167999999999999</v>
      </c>
      <c r="J12" s="13">
        <v>45.74</v>
      </c>
      <c r="K12" s="13">
        <v>45.43</v>
      </c>
      <c r="L12" s="13">
        <v>45.682000000000002</v>
      </c>
      <c r="M12" s="13">
        <v>45.19</v>
      </c>
      <c r="N12" s="13">
        <v>45.018000000000001</v>
      </c>
      <c r="O12" s="13">
        <v>49.620999999999995</v>
      </c>
      <c r="P12" s="14">
        <v>45.218000000000004</v>
      </c>
      <c r="Q12" s="39">
        <f t="shared" si="0"/>
        <v>45.818358333333329</v>
      </c>
      <c r="R12" s="40">
        <f t="shared" si="1"/>
        <v>549.82029999999997</v>
      </c>
    </row>
    <row r="13" spans="1:18" outlineLevel="2">
      <c r="A13" s="104"/>
      <c r="B13" s="67">
        <v>62910103</v>
      </c>
      <c r="C13" s="12" t="s">
        <v>15</v>
      </c>
      <c r="D13" s="13">
        <f>'Control Consumo R - 2017'!Q13</f>
        <v>46.586974999999995</v>
      </c>
      <c r="E13" s="13">
        <v>43.694000000000003</v>
      </c>
      <c r="F13" s="13">
        <v>45.414000000000001</v>
      </c>
      <c r="G13" s="13">
        <v>44.9</v>
      </c>
      <c r="H13" s="13">
        <v>44.575499999999998</v>
      </c>
      <c r="I13" s="13">
        <v>49.953299999999999</v>
      </c>
      <c r="J13" s="13">
        <v>45.158000000000001</v>
      </c>
      <c r="K13" s="13">
        <v>44.53</v>
      </c>
      <c r="L13" s="13">
        <v>43.269999999999996</v>
      </c>
      <c r="M13" s="13">
        <v>43.297499999999999</v>
      </c>
      <c r="N13" s="13">
        <v>43.677999999999997</v>
      </c>
      <c r="O13" s="13">
        <v>43.518000000000001</v>
      </c>
      <c r="P13" s="14">
        <v>43.738999999999997</v>
      </c>
      <c r="Q13" s="39">
        <f t="shared" si="0"/>
        <v>44.643941666666677</v>
      </c>
      <c r="R13" s="40">
        <f t="shared" si="1"/>
        <v>535.72730000000013</v>
      </c>
    </row>
    <row r="14" spans="1:18" outlineLevel="2">
      <c r="A14" s="104"/>
      <c r="B14" s="67">
        <v>62910110</v>
      </c>
      <c r="C14" s="12" t="s">
        <v>16</v>
      </c>
      <c r="D14" s="13">
        <f>'Control Consumo R - 2017'!Q14</f>
        <v>44.607423083333337</v>
      </c>
      <c r="E14" s="13">
        <v>45.01</v>
      </c>
      <c r="F14" s="13">
        <v>45</v>
      </c>
      <c r="G14" s="13">
        <v>45</v>
      </c>
      <c r="H14" s="13">
        <v>45</v>
      </c>
      <c r="I14" s="13">
        <v>45</v>
      </c>
      <c r="J14" s="13">
        <v>45</v>
      </c>
      <c r="K14" s="13">
        <v>45</v>
      </c>
      <c r="L14" s="13">
        <v>45.128</v>
      </c>
      <c r="M14" s="13">
        <v>45</v>
      </c>
      <c r="N14" s="13">
        <v>45</v>
      </c>
      <c r="O14" s="13">
        <v>45</v>
      </c>
      <c r="P14" s="14">
        <v>45</v>
      </c>
      <c r="Q14" s="39">
        <f t="shared" si="0"/>
        <v>45.011499999999991</v>
      </c>
      <c r="R14" s="40">
        <f t="shared" si="1"/>
        <v>540.13799999999992</v>
      </c>
    </row>
    <row r="15" spans="1:18" ht="15" outlineLevel="2" thickBot="1">
      <c r="A15" s="104"/>
      <c r="B15" s="67">
        <v>62910107</v>
      </c>
      <c r="C15" s="12" t="s">
        <v>23</v>
      </c>
      <c r="D15" s="13">
        <f>'Control Consumo R - 2017'!Q15</f>
        <v>41.025691666666667</v>
      </c>
      <c r="E15" s="13">
        <v>41</v>
      </c>
      <c r="F15" s="13">
        <v>41</v>
      </c>
      <c r="G15" s="13">
        <v>41.271999999999998</v>
      </c>
      <c r="H15" s="13">
        <v>41</v>
      </c>
      <c r="I15" s="13">
        <v>41.073999999999998</v>
      </c>
      <c r="J15" s="13">
        <v>41</v>
      </c>
      <c r="K15" s="13">
        <v>41</v>
      </c>
      <c r="L15" s="13">
        <v>41.317999999999998</v>
      </c>
      <c r="M15" s="13">
        <v>41.337800000000001</v>
      </c>
      <c r="N15" s="13">
        <v>41.116</v>
      </c>
      <c r="O15" s="13">
        <v>41.058</v>
      </c>
      <c r="P15" s="14">
        <v>41.280300000000004</v>
      </c>
      <c r="Q15" s="39">
        <f t="shared" si="0"/>
        <v>41.121341666666666</v>
      </c>
      <c r="R15" s="40">
        <f t="shared" si="1"/>
        <v>493.45609999999999</v>
      </c>
    </row>
    <row r="16" spans="1:18" outlineLevel="2">
      <c r="A16" s="104"/>
      <c r="B16" s="67">
        <v>62910114</v>
      </c>
      <c r="C16" s="12" t="s">
        <v>17</v>
      </c>
      <c r="D16" s="13">
        <f>'Control Consumo R - 2017'!Q16</f>
        <v>50.769658333333332</v>
      </c>
      <c r="E16" s="13">
        <v>48.119800000000005</v>
      </c>
      <c r="F16" s="13">
        <v>47.194000000000003</v>
      </c>
      <c r="G16" s="13">
        <v>47.103999999999999</v>
      </c>
      <c r="H16" s="13">
        <v>47.073999999999998</v>
      </c>
      <c r="I16" s="13">
        <v>47.188000000000002</v>
      </c>
      <c r="J16" s="13">
        <v>47</v>
      </c>
      <c r="K16" s="88">
        <v>47.31</v>
      </c>
      <c r="L16" s="13">
        <v>47</v>
      </c>
      <c r="M16" s="13">
        <v>47</v>
      </c>
      <c r="N16" s="13">
        <v>47.378799999999998</v>
      </c>
      <c r="O16" s="13">
        <v>47.052</v>
      </c>
      <c r="P16" s="14">
        <v>47.298000000000002</v>
      </c>
      <c r="Q16" s="45">
        <f t="shared" si="0"/>
        <v>47.226550000000003</v>
      </c>
      <c r="R16" s="36">
        <f t="shared" si="1"/>
        <v>566.71860000000004</v>
      </c>
    </row>
    <row r="17" spans="1:18" outlineLevel="2">
      <c r="A17" s="104"/>
      <c r="B17" s="67">
        <v>62910236</v>
      </c>
      <c r="C17" s="12" t="s">
        <v>43</v>
      </c>
      <c r="D17" s="13">
        <f>'Control Consumo R - 2017'!Q17</f>
        <v>48.600258333333329</v>
      </c>
      <c r="E17" s="13">
        <v>50.725999999999999</v>
      </c>
      <c r="F17" s="13">
        <v>48.444000000000003</v>
      </c>
      <c r="G17" s="13">
        <v>48.125999999999998</v>
      </c>
      <c r="H17" s="13">
        <v>49.380099999999999</v>
      </c>
      <c r="I17" s="13">
        <v>49.583999999999996</v>
      </c>
      <c r="J17" s="13">
        <v>48.311999999999998</v>
      </c>
      <c r="K17" s="13">
        <v>48.96</v>
      </c>
      <c r="L17" s="13">
        <v>47.68</v>
      </c>
      <c r="M17" s="13">
        <v>48.57</v>
      </c>
      <c r="N17" s="13">
        <v>48.853999999999999</v>
      </c>
      <c r="O17" s="13">
        <v>47.643999999999998</v>
      </c>
      <c r="P17" s="14">
        <v>48.502000000000002</v>
      </c>
      <c r="Q17" s="39">
        <f t="shared" si="0"/>
        <v>48.731841666666661</v>
      </c>
      <c r="R17" s="40">
        <f t="shared" si="1"/>
        <v>584.7820999999999</v>
      </c>
    </row>
    <row r="18" spans="1:18" outlineLevel="2">
      <c r="A18" s="104"/>
      <c r="B18" s="67">
        <v>62910239</v>
      </c>
      <c r="C18" s="12" t="s">
        <v>54</v>
      </c>
      <c r="D18" s="13">
        <v>105.44201991666669</v>
      </c>
      <c r="E18" s="13">
        <v>89.24799999999999</v>
      </c>
      <c r="F18" s="13">
        <v>89.225999999999999</v>
      </c>
      <c r="G18" s="13">
        <v>89.372</v>
      </c>
      <c r="H18" s="13">
        <v>90.978000000000009</v>
      </c>
      <c r="I18" s="13">
        <v>88.847999999999999</v>
      </c>
      <c r="J18" s="13">
        <v>90.942000000000007</v>
      </c>
      <c r="K18" s="13">
        <v>98.27</v>
      </c>
      <c r="L18" s="13">
        <v>112.30879999999999</v>
      </c>
      <c r="M18" s="13">
        <v>98.9893</v>
      </c>
      <c r="N18" s="13">
        <v>93.597499999999997</v>
      </c>
      <c r="O18" s="13">
        <v>92.072000000000003</v>
      </c>
      <c r="P18" s="14">
        <v>98.443999999999988</v>
      </c>
      <c r="Q18" s="39">
        <f t="shared" ref="Q18:Q19" si="4">AVERAGE(E18:P18)</f>
        <v>94.357966666666655</v>
      </c>
      <c r="R18" s="40">
        <f t="shared" ref="R18:R19" si="5">SUM(E18:P18)</f>
        <v>1132.2955999999999</v>
      </c>
    </row>
    <row r="19" spans="1:18" outlineLevel="2">
      <c r="A19" s="104"/>
      <c r="B19" s="67"/>
      <c r="C19" s="12" t="s">
        <v>68</v>
      </c>
      <c r="D19" s="13"/>
      <c r="E19" s="13"/>
      <c r="F19" s="13"/>
      <c r="G19" s="13"/>
      <c r="H19" s="13"/>
      <c r="I19" s="13"/>
      <c r="J19" s="13"/>
      <c r="K19" s="13"/>
      <c r="L19" s="13"/>
      <c r="M19" s="13">
        <v>55</v>
      </c>
      <c r="N19" s="13">
        <v>-0.22977399999999903</v>
      </c>
      <c r="O19" s="13">
        <v>55.7104</v>
      </c>
      <c r="P19" s="14">
        <v>74.834399999999988</v>
      </c>
      <c r="Q19" s="39">
        <f t="shared" si="4"/>
        <v>46.328756499999997</v>
      </c>
      <c r="R19" s="40">
        <f t="shared" si="5"/>
        <v>185.31502599999999</v>
      </c>
    </row>
    <row r="20" spans="1:18" outlineLevel="2">
      <c r="A20" s="96"/>
      <c r="B20" s="75"/>
      <c r="C20" s="3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90"/>
      <c r="R20" s="91"/>
    </row>
    <row r="21" spans="1:18" outlineLevel="2">
      <c r="A21" s="96"/>
      <c r="B21" s="75"/>
      <c r="C21" s="3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90"/>
      <c r="R21" s="91"/>
    </row>
    <row r="22" spans="1:18" outlineLevel="2">
      <c r="A22" s="96"/>
      <c r="B22" s="75"/>
      <c r="C22" s="3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  <c r="Q22" s="90"/>
      <c r="R22" s="91"/>
    </row>
    <row r="23" spans="1:18" ht="15" outlineLevel="1" thickBot="1">
      <c r="A23" s="22" t="s">
        <v>30</v>
      </c>
      <c r="B23" s="74"/>
      <c r="C23" s="17"/>
      <c r="D23" s="18">
        <f>'Control Consumo R - 2017'!Q19</f>
        <v>550.84621508333339</v>
      </c>
      <c r="E23" s="18">
        <f t="shared" ref="E23:P23" si="6">SUBTOTAL(9,E9:E19)</f>
        <v>526.91390000000001</v>
      </c>
      <c r="F23" s="18">
        <f t="shared" si="6"/>
        <v>524.18029999999999</v>
      </c>
      <c r="G23" s="18">
        <f t="shared" si="6"/>
        <v>525.08619999999996</v>
      </c>
      <c r="H23" s="18">
        <f t="shared" si="6"/>
        <v>527.24760000000015</v>
      </c>
      <c r="I23" s="18">
        <f t="shared" si="6"/>
        <v>530.15539999999999</v>
      </c>
      <c r="J23" s="18">
        <f t="shared" si="6"/>
        <v>525.72199999999998</v>
      </c>
      <c r="K23" s="18">
        <f t="shared" si="6"/>
        <v>533.94999999999993</v>
      </c>
      <c r="L23" s="18">
        <f t="shared" si="6"/>
        <v>544.97709999999995</v>
      </c>
      <c r="M23" s="18">
        <f t="shared" si="6"/>
        <v>587.22860000000003</v>
      </c>
      <c r="N23" s="18">
        <f t="shared" si="6"/>
        <v>548.40153899999996</v>
      </c>
      <c r="O23" s="18">
        <f t="shared" si="6"/>
        <v>628.32740000000001</v>
      </c>
      <c r="P23" s="19">
        <f t="shared" si="6"/>
        <v>592.00170000000003</v>
      </c>
      <c r="Q23" s="41">
        <f>SUM(Q9:Q19)</f>
        <v>580.40181591666646</v>
      </c>
      <c r="R23" s="46">
        <f t="shared" si="1"/>
        <v>6594.1917390000008</v>
      </c>
    </row>
    <row r="24" spans="1:18" outlineLevel="2">
      <c r="A24" s="105" t="s">
        <v>31</v>
      </c>
      <c r="B24" s="73">
        <v>62910164</v>
      </c>
      <c r="C24" s="9" t="s">
        <v>1</v>
      </c>
      <c r="D24" s="10">
        <f>'Control Consumo R - 2017'!Q20</f>
        <v>55.973926333333331</v>
      </c>
      <c r="E24" s="10">
        <v>55</v>
      </c>
      <c r="F24" s="10">
        <v>55</v>
      </c>
      <c r="G24" s="10">
        <v>55.254800000000003</v>
      </c>
      <c r="H24" s="10">
        <v>55.174199999999999</v>
      </c>
      <c r="I24" s="10">
        <v>55</v>
      </c>
      <c r="J24" s="10">
        <v>56.322899999999997</v>
      </c>
      <c r="K24" s="10">
        <v>55.64</v>
      </c>
      <c r="L24" s="10">
        <v>55</v>
      </c>
      <c r="M24" s="10">
        <v>55</v>
      </c>
      <c r="N24" s="10">
        <v>55.727800000000002</v>
      </c>
      <c r="O24" s="10">
        <v>55.242999999999995</v>
      </c>
      <c r="P24" s="10">
        <v>55.608000000000004</v>
      </c>
      <c r="Q24" s="45">
        <f t="shared" si="0"/>
        <v>55.330891666666652</v>
      </c>
      <c r="R24" s="36">
        <f t="shared" si="1"/>
        <v>663.97069999999985</v>
      </c>
    </row>
    <row r="25" spans="1:18" outlineLevel="2">
      <c r="A25" s="106"/>
      <c r="B25" s="72">
        <v>62910163</v>
      </c>
      <c r="C25" s="12" t="s">
        <v>2</v>
      </c>
      <c r="D25" s="13">
        <f>'Control Consumo R - 2017'!Q21</f>
        <v>58.499208333333343</v>
      </c>
      <c r="E25" s="13">
        <v>68.348399999999998</v>
      </c>
      <c r="F25" s="13">
        <v>68</v>
      </c>
      <c r="G25" s="13">
        <v>68.633300000000006</v>
      </c>
      <c r="H25" s="13">
        <v>68.567499999999995</v>
      </c>
      <c r="I25" s="13">
        <v>68.234499999999997</v>
      </c>
      <c r="J25" s="13">
        <v>68</v>
      </c>
      <c r="K25" s="13">
        <v>68.89</v>
      </c>
      <c r="L25" s="13">
        <v>68.167199999999994</v>
      </c>
      <c r="M25" s="13">
        <v>68</v>
      </c>
      <c r="N25" s="13">
        <v>68.274160000000009</v>
      </c>
      <c r="O25" s="13">
        <v>68</v>
      </c>
      <c r="P25" s="14">
        <v>68</v>
      </c>
      <c r="Q25" s="39">
        <f t="shared" si="0"/>
        <v>68.259588333333326</v>
      </c>
      <c r="R25" s="40">
        <f t="shared" si="1"/>
        <v>819.11505999999997</v>
      </c>
    </row>
    <row r="26" spans="1:18" outlineLevel="2">
      <c r="A26" s="106"/>
      <c r="B26" s="72">
        <v>62910165</v>
      </c>
      <c r="C26" s="12" t="s">
        <v>3</v>
      </c>
      <c r="D26" s="13">
        <f>'Control Consumo R - 2017'!Q22</f>
        <v>58.530886083333336</v>
      </c>
      <c r="E26" s="13">
        <v>60.6128</v>
      </c>
      <c r="F26" s="13">
        <v>59.022500000000001</v>
      </c>
      <c r="G26" s="13">
        <v>65.91</v>
      </c>
      <c r="H26" s="13">
        <v>66.294000000000011</v>
      </c>
      <c r="I26" s="13">
        <v>65.531999999999996</v>
      </c>
      <c r="J26" s="13">
        <v>60.788000000000004</v>
      </c>
      <c r="K26" s="13">
        <v>60.66</v>
      </c>
      <c r="L26" s="13">
        <v>62.037000000000006</v>
      </c>
      <c r="M26" s="13">
        <v>60.081299999999999</v>
      </c>
      <c r="N26" s="13">
        <v>64.852000000000004</v>
      </c>
      <c r="O26" s="13">
        <v>61.618200000000002</v>
      </c>
      <c r="P26" s="14">
        <v>67.55</v>
      </c>
      <c r="Q26" s="39">
        <f t="shared" si="0"/>
        <v>62.913149999999995</v>
      </c>
      <c r="R26" s="40">
        <f t="shared" si="1"/>
        <v>754.95779999999991</v>
      </c>
    </row>
    <row r="27" spans="1:18" outlineLevel="2">
      <c r="A27" s="106"/>
      <c r="B27" s="72">
        <v>62910169</v>
      </c>
      <c r="C27" s="12" t="s">
        <v>4</v>
      </c>
      <c r="D27" s="13">
        <f>'Control Consumo R - 2017'!Q23</f>
        <v>57.965104333333329</v>
      </c>
      <c r="E27" s="13">
        <v>57.06</v>
      </c>
      <c r="F27" s="13">
        <v>57</v>
      </c>
      <c r="G27" s="13">
        <v>57</v>
      </c>
      <c r="H27" s="13">
        <v>57.073</v>
      </c>
      <c r="I27" s="13">
        <v>57</v>
      </c>
      <c r="J27" s="94">
        <v>57.724299999999999</v>
      </c>
      <c r="K27" s="13">
        <v>57.07</v>
      </c>
      <c r="L27" s="13">
        <v>57.165800000000004</v>
      </c>
      <c r="M27" s="13">
        <v>57</v>
      </c>
      <c r="N27" s="13">
        <v>57.348500000000001</v>
      </c>
      <c r="O27" s="13">
        <v>57.225999999999999</v>
      </c>
      <c r="P27" s="14">
        <v>57.404399999999995</v>
      </c>
      <c r="Q27" s="39">
        <f t="shared" si="0"/>
        <v>57.172666666666679</v>
      </c>
      <c r="R27" s="40">
        <f t="shared" si="1"/>
        <v>686.07200000000012</v>
      </c>
    </row>
    <row r="28" spans="1:18" outlineLevel="2">
      <c r="A28" s="106"/>
      <c r="B28" s="72">
        <v>62910170</v>
      </c>
      <c r="C28" s="12" t="s">
        <v>5</v>
      </c>
      <c r="D28" s="13">
        <f>'Control Consumo R - 2017'!Q24</f>
        <v>58.413141666666661</v>
      </c>
      <c r="E28" s="13">
        <v>59.219799999999999</v>
      </c>
      <c r="F28" s="13">
        <v>58.272000000000006</v>
      </c>
      <c r="G28" s="13">
        <v>58.048000000000002</v>
      </c>
      <c r="H28" s="13">
        <v>58.445999999999998</v>
      </c>
      <c r="I28" s="13">
        <v>59.099199999999996</v>
      </c>
      <c r="J28" s="13">
        <v>59.827300000000001</v>
      </c>
      <c r="K28" s="13">
        <v>61.02</v>
      </c>
      <c r="L28" s="13">
        <v>58.036000000000001</v>
      </c>
      <c r="M28" s="13">
        <v>58.257999999999996</v>
      </c>
      <c r="N28" s="13">
        <v>58.323300000000003</v>
      </c>
      <c r="O28" s="13">
        <v>58.072000000000003</v>
      </c>
      <c r="P28" s="14">
        <v>58.428699999999999</v>
      </c>
      <c r="Q28" s="39">
        <f t="shared" si="0"/>
        <v>58.754191666666678</v>
      </c>
      <c r="R28" s="40">
        <f t="shared" si="1"/>
        <v>705.05030000000011</v>
      </c>
    </row>
    <row r="29" spans="1:18" outlineLevel="2">
      <c r="A29" s="106"/>
      <c r="B29" s="72">
        <v>62910178</v>
      </c>
      <c r="C29" s="12" t="s">
        <v>6</v>
      </c>
      <c r="D29" s="13">
        <f>'Control Consumo R - 2017'!Q25</f>
        <v>60.340083499999999</v>
      </c>
      <c r="E29" s="13">
        <v>59.940800000000003</v>
      </c>
      <c r="F29" s="13">
        <v>58.856000000000002</v>
      </c>
      <c r="G29" s="13">
        <v>61.54</v>
      </c>
      <c r="H29" s="13">
        <v>60.956699999999998</v>
      </c>
      <c r="I29" s="13">
        <v>59.378</v>
      </c>
      <c r="J29" s="13">
        <v>61.181999999999988</v>
      </c>
      <c r="K29" s="13">
        <v>60.83</v>
      </c>
      <c r="L29" s="13">
        <v>61.485999999999997</v>
      </c>
      <c r="M29" s="13">
        <v>58.823999999999998</v>
      </c>
      <c r="N29" s="13">
        <v>58.975999999999999</v>
      </c>
      <c r="O29" s="13">
        <v>59.951999999999998</v>
      </c>
      <c r="P29" s="14">
        <v>60.55</v>
      </c>
      <c r="Q29" s="39">
        <f t="shared" si="0"/>
        <v>60.205958333333321</v>
      </c>
      <c r="R29" s="40">
        <f t="shared" si="1"/>
        <v>722.47149999999988</v>
      </c>
    </row>
    <row r="30" spans="1:18" outlineLevel="2">
      <c r="A30" s="106"/>
      <c r="B30" s="72">
        <v>62910179</v>
      </c>
      <c r="C30" s="12" t="s">
        <v>7</v>
      </c>
      <c r="D30" s="13">
        <f>'Control Consumo R - 2017'!Q26</f>
        <v>58.388258333333319</v>
      </c>
      <c r="E30" s="13">
        <v>57.079300000000003</v>
      </c>
      <c r="F30" s="13">
        <v>57.21</v>
      </c>
      <c r="G30" s="13">
        <v>56.269999999999996</v>
      </c>
      <c r="H30" s="13">
        <v>57.046499999999995</v>
      </c>
      <c r="I30" s="13">
        <v>56.8155</v>
      </c>
      <c r="J30" s="13">
        <v>62.094000000000001</v>
      </c>
      <c r="K30" s="13">
        <v>59.84</v>
      </c>
      <c r="L30" s="13">
        <v>60.691999999999993</v>
      </c>
      <c r="M30" s="13">
        <v>59.180999999999997</v>
      </c>
      <c r="N30" s="13">
        <v>57.47</v>
      </c>
      <c r="O30" s="13">
        <v>57.637999999999998</v>
      </c>
      <c r="P30" s="14">
        <v>56.692</v>
      </c>
      <c r="Q30" s="39">
        <f t="shared" si="0"/>
        <v>58.169025000000005</v>
      </c>
      <c r="R30" s="40">
        <f t="shared" si="1"/>
        <v>698.02830000000006</v>
      </c>
    </row>
    <row r="31" spans="1:18" outlineLevel="2">
      <c r="A31" s="106"/>
      <c r="B31" s="72">
        <v>62910232</v>
      </c>
      <c r="C31" s="12" t="s">
        <v>8</v>
      </c>
      <c r="D31" s="13">
        <f>'Control Consumo R - 2017'!Q27</f>
        <v>57.9238</v>
      </c>
      <c r="E31" s="13">
        <v>57</v>
      </c>
      <c r="F31" s="13">
        <v>57.109300000000005</v>
      </c>
      <c r="G31" s="13">
        <v>57.391400000000004</v>
      </c>
      <c r="H31" s="13">
        <v>57.871099999999998</v>
      </c>
      <c r="I31" s="13">
        <v>57</v>
      </c>
      <c r="J31" s="13">
        <v>57.843000000000004</v>
      </c>
      <c r="K31" s="13">
        <v>57.83</v>
      </c>
      <c r="L31" s="13">
        <v>57.021999999999998</v>
      </c>
      <c r="M31" s="13">
        <v>57.265599999999999</v>
      </c>
      <c r="N31" s="13">
        <v>57.173999999999999</v>
      </c>
      <c r="O31" s="13">
        <v>57.305300000000003</v>
      </c>
      <c r="P31" s="14">
        <v>57.438900000000004</v>
      </c>
      <c r="Q31" s="39">
        <f t="shared" si="0"/>
        <v>57.354216666666666</v>
      </c>
      <c r="R31" s="40">
        <f t="shared" si="1"/>
        <v>688.25059999999996</v>
      </c>
    </row>
    <row r="32" spans="1:18" outlineLevel="2">
      <c r="A32" s="106"/>
      <c r="B32" s="72">
        <v>62910233</v>
      </c>
      <c r="C32" s="12" t="s">
        <v>9</v>
      </c>
      <c r="D32" s="13">
        <f>'Control Consumo R - 2017'!Q28</f>
        <v>57.305208333333333</v>
      </c>
      <c r="E32" s="13">
        <v>57.738500000000002</v>
      </c>
      <c r="F32" s="13">
        <v>57.067700000000002</v>
      </c>
      <c r="G32" s="13">
        <v>57.067399999999999</v>
      </c>
      <c r="H32" s="13">
        <v>57.251199999999997</v>
      </c>
      <c r="I32" s="13">
        <v>57.165800000000004</v>
      </c>
      <c r="J32" s="13">
        <v>57.1374</v>
      </c>
      <c r="K32" s="13">
        <v>57.07</v>
      </c>
      <c r="L32" s="13">
        <v>57</v>
      </c>
      <c r="M32" s="13">
        <v>57</v>
      </c>
      <c r="N32" s="13">
        <v>57.167200000000001</v>
      </c>
      <c r="O32" s="13">
        <v>57</v>
      </c>
      <c r="P32" s="14">
        <v>57.332899999999995</v>
      </c>
      <c r="Q32" s="39">
        <f t="shared" si="0"/>
        <v>57.166508333333333</v>
      </c>
      <c r="R32" s="40">
        <f t="shared" si="1"/>
        <v>685.99810000000002</v>
      </c>
    </row>
    <row r="33" spans="1:19" outlineLevel="2">
      <c r="A33" s="106"/>
      <c r="B33" s="72">
        <v>62910119</v>
      </c>
      <c r="C33" s="12" t="s">
        <v>10</v>
      </c>
      <c r="D33" s="13">
        <f>'Control Consumo R - 2017'!Q29</f>
        <v>57.111999999999995</v>
      </c>
      <c r="E33" s="13">
        <v>58.616</v>
      </c>
      <c r="F33" s="13">
        <v>56.921999999999997</v>
      </c>
      <c r="G33" s="13">
        <v>62.494</v>
      </c>
      <c r="H33" s="13">
        <v>58.594000000000001</v>
      </c>
      <c r="I33" s="13">
        <v>57.961999999999996</v>
      </c>
      <c r="J33" s="13">
        <v>59.137999999999998</v>
      </c>
      <c r="K33" s="13">
        <v>57.74</v>
      </c>
      <c r="L33" s="13">
        <v>57.887</v>
      </c>
      <c r="M33" s="13">
        <v>57.905999999999999</v>
      </c>
      <c r="N33" s="13">
        <v>59.1</v>
      </c>
      <c r="O33" s="13">
        <v>58.396000000000001</v>
      </c>
      <c r="P33" s="14">
        <v>59.734000000000002</v>
      </c>
      <c r="Q33" s="39">
        <f t="shared" si="0"/>
        <v>58.70741666666666</v>
      </c>
      <c r="R33" s="40">
        <f t="shared" si="1"/>
        <v>704.48899999999992</v>
      </c>
    </row>
    <row r="34" spans="1:19" outlineLevel="2">
      <c r="A34" s="106"/>
      <c r="B34" s="72">
        <v>62910235</v>
      </c>
      <c r="C34" s="12" t="s">
        <v>37</v>
      </c>
      <c r="D34" s="13">
        <f>'Control Consumo R - 2017'!Q30</f>
        <v>59.964723333333332</v>
      </c>
      <c r="E34" s="13">
        <v>58.679400000000001</v>
      </c>
      <c r="F34" s="13">
        <v>58.59984</v>
      </c>
      <c r="G34" s="13">
        <v>57.666600000000003</v>
      </c>
      <c r="H34" s="79">
        <v>57.167619999999999</v>
      </c>
      <c r="I34" s="13">
        <v>59.53154</v>
      </c>
      <c r="J34" s="13">
        <v>58.854120000000002</v>
      </c>
      <c r="K34" s="13">
        <v>59.5</v>
      </c>
      <c r="L34" s="13">
        <v>57.713080000000005</v>
      </c>
      <c r="M34" s="13">
        <v>58.326320000000003</v>
      </c>
      <c r="N34" s="13">
        <v>59.222479999999997</v>
      </c>
      <c r="O34" s="13">
        <v>61.034039999999997</v>
      </c>
      <c r="P34" s="14">
        <v>57.852080000000001</v>
      </c>
      <c r="Q34" s="39">
        <f t="shared" si="0"/>
        <v>58.678926666666662</v>
      </c>
      <c r="R34" s="40">
        <f t="shared" si="1"/>
        <v>704.14711999999997</v>
      </c>
    </row>
    <row r="35" spans="1:19" outlineLevel="2">
      <c r="A35" s="106"/>
      <c r="B35" s="72">
        <v>62910340</v>
      </c>
      <c r="C35" s="12" t="s">
        <v>44</v>
      </c>
      <c r="D35" s="13">
        <f>'Control Consumo R - 2017'!Q31</f>
        <v>51.632894499999999</v>
      </c>
      <c r="E35" s="13">
        <v>51</v>
      </c>
      <c r="F35" s="13">
        <v>51</v>
      </c>
      <c r="G35" s="13">
        <v>51</v>
      </c>
      <c r="H35" s="13">
        <v>51.387500000000003</v>
      </c>
      <c r="I35" s="13">
        <v>51</v>
      </c>
      <c r="J35" s="13">
        <v>51</v>
      </c>
      <c r="K35" s="13">
        <v>51</v>
      </c>
      <c r="L35" s="13">
        <v>51.337400000000002</v>
      </c>
      <c r="M35" s="13">
        <v>51.773600000000002</v>
      </c>
      <c r="N35" s="13">
        <v>52.263999999999996</v>
      </c>
      <c r="O35" s="13">
        <v>51</v>
      </c>
      <c r="P35" s="14">
        <v>52.775999999999996</v>
      </c>
      <c r="Q35" s="39">
        <f t="shared" si="0"/>
        <v>51.378208333333326</v>
      </c>
      <c r="R35" s="40">
        <f t="shared" si="1"/>
        <v>616.53849999999989</v>
      </c>
    </row>
    <row r="36" spans="1:19" outlineLevel="2">
      <c r="A36" s="106"/>
      <c r="B36" s="75">
        <v>62910238</v>
      </c>
      <c r="C36" s="3" t="s">
        <v>48</v>
      </c>
      <c r="D36" s="13">
        <f>'Control Consumo R - 2017'!Q32</f>
        <v>58.74783333333334</v>
      </c>
      <c r="E36" s="76">
        <v>56.821100000000001</v>
      </c>
      <c r="F36" s="76">
        <v>56.819800000000001</v>
      </c>
      <c r="G36" s="76">
        <v>57.2136</v>
      </c>
      <c r="H36" s="76">
        <v>57.597099999999998</v>
      </c>
      <c r="I36" s="76">
        <v>55.733100000000007</v>
      </c>
      <c r="J36" s="76">
        <v>57.765100000000004</v>
      </c>
      <c r="K36" s="76">
        <v>63.5</v>
      </c>
      <c r="L36" s="76">
        <v>56.451800000000006</v>
      </c>
      <c r="M36" s="13">
        <v>55.5471</v>
      </c>
      <c r="N36" s="76">
        <v>56.623100000000001</v>
      </c>
      <c r="O36" s="76">
        <v>57.634700000000002</v>
      </c>
      <c r="P36" s="77">
        <v>62.335099999999997</v>
      </c>
      <c r="Q36" s="39">
        <f t="shared" si="0"/>
        <v>57.836800000000004</v>
      </c>
      <c r="R36" s="40">
        <f t="shared" si="1"/>
        <v>694.04160000000002</v>
      </c>
    </row>
    <row r="37" spans="1:19" outlineLevel="2">
      <c r="A37" s="106"/>
      <c r="B37" s="75">
        <v>62910342</v>
      </c>
      <c r="C37" s="3" t="s">
        <v>51</v>
      </c>
      <c r="D37" s="13">
        <f>'Control Consumo R - 2017'!Q33</f>
        <v>72.117949999999993</v>
      </c>
      <c r="E37" s="76">
        <v>71</v>
      </c>
      <c r="F37" s="76">
        <v>71</v>
      </c>
      <c r="G37" s="76">
        <v>71</v>
      </c>
      <c r="H37" s="76">
        <v>71</v>
      </c>
      <c r="I37" s="76">
        <v>71</v>
      </c>
      <c r="J37" s="76">
        <v>73.578299999999999</v>
      </c>
      <c r="K37" s="76">
        <v>71.28</v>
      </c>
      <c r="L37" s="76">
        <v>71</v>
      </c>
      <c r="M37" s="76">
        <v>71</v>
      </c>
      <c r="N37" s="76">
        <v>71</v>
      </c>
      <c r="O37" s="76">
        <v>71</v>
      </c>
      <c r="P37" s="77">
        <v>73.998099999999994</v>
      </c>
      <c r="Q37" s="39">
        <f t="shared" si="0"/>
        <v>71.488033333333334</v>
      </c>
      <c r="R37" s="40">
        <f t="shared" si="1"/>
        <v>857.85640000000001</v>
      </c>
    </row>
    <row r="38" spans="1:19" outlineLevel="2">
      <c r="A38" s="106"/>
      <c r="B38" s="75">
        <v>62910344</v>
      </c>
      <c r="C38" s="3" t="s">
        <v>56</v>
      </c>
      <c r="D38" s="13">
        <f>'Control Consumo R - 2017'!Q34</f>
        <v>73.282458333333338</v>
      </c>
      <c r="E38" s="76">
        <v>73.03</v>
      </c>
      <c r="F38" s="76">
        <v>73.03</v>
      </c>
      <c r="G38" s="76">
        <v>73.341000000000008</v>
      </c>
      <c r="H38" s="76">
        <v>74.178600000000003</v>
      </c>
      <c r="I38" s="76">
        <v>73.334000000000003</v>
      </c>
      <c r="J38" s="76">
        <v>73.03</v>
      </c>
      <c r="K38" s="76">
        <v>73.38</v>
      </c>
      <c r="L38" s="76">
        <v>73.03</v>
      </c>
      <c r="M38" s="76">
        <v>73.187299999999993</v>
      </c>
      <c r="N38" s="76">
        <v>73.03</v>
      </c>
      <c r="O38" s="76">
        <v>73.03</v>
      </c>
      <c r="P38" s="77">
        <v>73.03</v>
      </c>
      <c r="Q38" s="39">
        <f t="shared" si="0"/>
        <v>73.219241666666662</v>
      </c>
      <c r="R38" s="40">
        <f t="shared" si="1"/>
        <v>878.63089999999988</v>
      </c>
    </row>
    <row r="39" spans="1:19" outlineLevel="2">
      <c r="A39" s="106"/>
      <c r="B39" s="75"/>
      <c r="C39" s="3" t="s">
        <v>62</v>
      </c>
      <c r="D39" s="13">
        <f>'Control Consumo R - 2017'!Q35</f>
        <v>57.392891666666664</v>
      </c>
      <c r="E39" s="76">
        <v>57</v>
      </c>
      <c r="F39" s="76">
        <v>57</v>
      </c>
      <c r="G39" s="76">
        <v>58.083799999999997</v>
      </c>
      <c r="H39" s="76">
        <v>57.167400000000001</v>
      </c>
      <c r="I39" s="76">
        <v>57.125299999999996</v>
      </c>
      <c r="J39" s="76">
        <v>57.346699999999998</v>
      </c>
      <c r="K39" s="76">
        <v>57</v>
      </c>
      <c r="L39" s="76">
        <v>57</v>
      </c>
      <c r="M39" s="76">
        <v>57.101399999999998</v>
      </c>
      <c r="N39" s="76">
        <v>57.947000000000003</v>
      </c>
      <c r="O39" s="76">
        <v>57.19</v>
      </c>
      <c r="P39" s="77">
        <v>57.418700000000001</v>
      </c>
      <c r="Q39" s="39">
        <f t="shared" si="0"/>
        <v>57.281691666666653</v>
      </c>
      <c r="R39" s="40">
        <f t="shared" si="1"/>
        <v>687.38029999999981</v>
      </c>
    </row>
    <row r="40" spans="1:19" outlineLevel="2">
      <c r="A40" s="106"/>
      <c r="B40" s="75"/>
      <c r="C40" s="3" t="s">
        <v>63</v>
      </c>
      <c r="D40" s="13">
        <f>'Control Consumo R - 2017'!Q36</f>
        <v>59.314408333333347</v>
      </c>
      <c r="E40" s="76">
        <v>59</v>
      </c>
      <c r="F40" s="76">
        <v>59</v>
      </c>
      <c r="G40" s="76">
        <v>60.035200000000003</v>
      </c>
      <c r="H40" s="76">
        <v>61.801500000000004</v>
      </c>
      <c r="I40" s="76">
        <v>59.486499999999999</v>
      </c>
      <c r="J40" s="76">
        <v>59</v>
      </c>
      <c r="K40" s="76">
        <v>59.68</v>
      </c>
      <c r="L40" s="76">
        <v>59.617900000000006</v>
      </c>
      <c r="M40" s="76">
        <v>59</v>
      </c>
      <c r="N40" s="76">
        <v>59</v>
      </c>
      <c r="O40" s="76">
        <v>59.208399999999997</v>
      </c>
      <c r="P40" s="77">
        <v>60.506500000000003</v>
      </c>
      <c r="Q40" s="39">
        <f t="shared" si="0"/>
        <v>59.611333333333334</v>
      </c>
      <c r="R40" s="40">
        <f t="shared" si="1"/>
        <v>715.33600000000001</v>
      </c>
    </row>
    <row r="41" spans="1:19" outlineLevel="2">
      <c r="A41" s="107"/>
      <c r="B41" s="75"/>
      <c r="C41" s="3" t="s">
        <v>64</v>
      </c>
      <c r="D41" s="76"/>
      <c r="E41" s="76">
        <v>15.998063999999999</v>
      </c>
      <c r="F41" s="76">
        <v>270.15210000000002</v>
      </c>
      <c r="G41" s="76">
        <v>-50.155602999999999</v>
      </c>
      <c r="H41" s="76">
        <v>127.63230000000001</v>
      </c>
      <c r="I41" s="76">
        <v>124.75619999999999</v>
      </c>
      <c r="J41" s="76">
        <v>64.466300000000018</v>
      </c>
      <c r="K41" s="76">
        <v>93.92</v>
      </c>
      <c r="L41" s="76">
        <v>108.7633</v>
      </c>
      <c r="M41" s="76">
        <v>108.64800000000001</v>
      </c>
      <c r="N41" s="76">
        <v>109.0697</v>
      </c>
      <c r="O41" s="76">
        <v>109.56930000000001</v>
      </c>
      <c r="P41" s="77">
        <v>113.4333</v>
      </c>
      <c r="Q41" s="39">
        <f t="shared" ref="Q41" si="7">AVERAGE(E41:P41)</f>
        <v>99.687746749999988</v>
      </c>
      <c r="R41" s="40">
        <f t="shared" ref="R41" si="8">SUM(E41:P41)</f>
        <v>1196.2529609999999</v>
      </c>
    </row>
    <row r="42" spans="1:19" ht="15" outlineLevel="2" thickBot="1">
      <c r="A42" s="22" t="s">
        <v>32</v>
      </c>
      <c r="B42" s="68"/>
      <c r="C42" s="17"/>
      <c r="D42" s="18">
        <f>SUBTOTAL(9,D24:D41)</f>
        <v>1012.9047764166667</v>
      </c>
      <c r="E42" s="18">
        <f t="shared" ref="E42:P42" si="9">SUBTOTAL(9,E24:E41)</f>
        <v>1033.1441639999998</v>
      </c>
      <c r="F42" s="18">
        <f t="shared" si="9"/>
        <v>1281.06124</v>
      </c>
      <c r="G42" s="18">
        <f t="shared" si="9"/>
        <v>977.793497</v>
      </c>
      <c r="H42" s="18">
        <f t="shared" si="9"/>
        <v>1155.20622</v>
      </c>
      <c r="I42" s="18">
        <f t="shared" si="9"/>
        <v>1145.15364</v>
      </c>
      <c r="J42" s="18">
        <f t="shared" si="9"/>
        <v>1095.0974200000001</v>
      </c>
      <c r="K42" s="18">
        <f t="shared" si="9"/>
        <v>1125.8499999999999</v>
      </c>
      <c r="L42" s="18">
        <f t="shared" si="9"/>
        <v>1129.4064799999999</v>
      </c>
      <c r="M42" s="18">
        <f t="shared" si="9"/>
        <v>1123.0996199999997</v>
      </c>
      <c r="N42" s="18">
        <f t="shared" si="9"/>
        <v>1132.56924</v>
      </c>
      <c r="O42" s="18">
        <f t="shared" si="9"/>
        <v>1130.1169399999999</v>
      </c>
      <c r="P42" s="18">
        <f t="shared" si="9"/>
        <v>1150.0886799999998</v>
      </c>
      <c r="Q42" s="41">
        <f>SUM(Q24:Q41)</f>
        <v>1123.2155950833335</v>
      </c>
      <c r="R42" s="46">
        <f t="shared" si="1"/>
        <v>13478.587141</v>
      </c>
      <c r="S42" s="93"/>
    </row>
    <row r="43" spans="1:19" outlineLevel="1">
      <c r="A43" s="103" t="s">
        <v>18</v>
      </c>
      <c r="B43" s="64">
        <v>62910182</v>
      </c>
      <c r="C43" s="12" t="s">
        <v>19</v>
      </c>
      <c r="D43" s="13">
        <f>'Control Consumo R - 2017'!Q38</f>
        <v>49.288311833333346</v>
      </c>
      <c r="E43" s="13">
        <v>50.41</v>
      </c>
      <c r="F43" s="13">
        <v>50.76</v>
      </c>
      <c r="G43" s="13">
        <v>48.504742</v>
      </c>
      <c r="H43" s="13">
        <v>41.32</v>
      </c>
      <c r="I43" s="13">
        <v>41.751300000000001</v>
      </c>
      <c r="J43" s="13">
        <v>41.32</v>
      </c>
      <c r="K43" s="13">
        <v>41.32</v>
      </c>
      <c r="L43" s="13">
        <v>41.32</v>
      </c>
      <c r="M43" s="13">
        <v>41.930700000000002</v>
      </c>
      <c r="N43" s="13">
        <v>41.32</v>
      </c>
      <c r="O43" s="13">
        <v>44.12</v>
      </c>
      <c r="P43" s="14">
        <v>43.267299999999999</v>
      </c>
      <c r="Q43" s="39">
        <f t="shared" si="0"/>
        <v>43.945336833333329</v>
      </c>
      <c r="R43" s="40">
        <f t="shared" si="1"/>
        <v>527.34404199999994</v>
      </c>
    </row>
    <row r="44" spans="1:19" outlineLevel="2">
      <c r="A44" s="104"/>
      <c r="B44" s="67">
        <v>62910182</v>
      </c>
      <c r="C44" s="12" t="s">
        <v>20</v>
      </c>
      <c r="D44" s="13">
        <f>'Control Consumo R - 2017'!Q39</f>
        <v>41.632674999999999</v>
      </c>
      <c r="E44" s="13">
        <v>41.56</v>
      </c>
      <c r="F44" s="13">
        <v>41.739999999999995</v>
      </c>
      <c r="G44" s="13">
        <v>41.853999999999999</v>
      </c>
      <c r="H44" s="13">
        <v>42.085999999999999</v>
      </c>
      <c r="I44" s="13">
        <v>41.56</v>
      </c>
      <c r="J44" s="13">
        <v>41.56</v>
      </c>
      <c r="K44" s="13">
        <v>41.72</v>
      </c>
      <c r="L44" s="13">
        <v>42.433999999999997</v>
      </c>
      <c r="M44" s="13">
        <v>43.76</v>
      </c>
      <c r="N44" s="13">
        <v>42.607999999999997</v>
      </c>
      <c r="O44" s="13">
        <v>43.31</v>
      </c>
      <c r="P44" s="14">
        <v>41.56</v>
      </c>
      <c r="Q44" s="39">
        <f t="shared" si="0"/>
        <v>42.146000000000001</v>
      </c>
      <c r="R44" s="40">
        <f t="shared" si="1"/>
        <v>505.75200000000001</v>
      </c>
    </row>
    <row r="45" spans="1:19" outlineLevel="2">
      <c r="A45" s="104"/>
      <c r="B45" s="67"/>
      <c r="C45" s="12" t="s">
        <v>55</v>
      </c>
      <c r="D45" s="13">
        <f>'Control Consumo R - 2017'!Q40</f>
        <v>47.028500000000001</v>
      </c>
      <c r="E45" s="13">
        <v>47</v>
      </c>
      <c r="F45" s="13">
        <v>55.785715000000003</v>
      </c>
      <c r="G45" s="13">
        <v>73</v>
      </c>
      <c r="H45" s="13">
        <v>9</v>
      </c>
      <c r="I45" s="13">
        <v>41</v>
      </c>
      <c r="J45" s="13">
        <v>41</v>
      </c>
      <c r="K45" s="13">
        <v>41</v>
      </c>
      <c r="L45" s="13">
        <v>41</v>
      </c>
      <c r="M45" s="13">
        <f>23.233333+3.939</f>
        <v>27.172332999999998</v>
      </c>
      <c r="N45" s="13">
        <v>21.047903000000002</v>
      </c>
      <c r="O45" s="13">
        <v>37.605000000000004</v>
      </c>
      <c r="P45" s="14">
        <v>38.9178</v>
      </c>
      <c r="Q45" s="39">
        <f t="shared" si="0"/>
        <v>39.46072925</v>
      </c>
      <c r="R45" s="40">
        <f t="shared" si="1"/>
        <v>473.528751</v>
      </c>
    </row>
    <row r="46" spans="1:19" outlineLevel="2">
      <c r="A46" s="104"/>
      <c r="B46" s="67">
        <v>62910182</v>
      </c>
      <c r="C46" s="12" t="s">
        <v>38</v>
      </c>
      <c r="D46" s="13">
        <f>'Control Consumo R - 2017'!Q41</f>
        <v>41.075916666666664</v>
      </c>
      <c r="E46" s="13">
        <v>41</v>
      </c>
      <c r="F46" s="13">
        <v>41.317799999999998</v>
      </c>
      <c r="G46" s="13">
        <v>41</v>
      </c>
      <c r="H46" s="13">
        <v>41.002000000000002</v>
      </c>
      <c r="I46" s="13">
        <v>41</v>
      </c>
      <c r="J46" s="13">
        <v>41</v>
      </c>
      <c r="K46" s="13">
        <v>41</v>
      </c>
      <c r="L46" s="13">
        <v>41</v>
      </c>
      <c r="M46" s="13">
        <v>41.002000000000002</v>
      </c>
      <c r="N46" s="13">
        <v>41</v>
      </c>
      <c r="O46" s="13">
        <v>41.136000000000003</v>
      </c>
      <c r="P46" s="14">
        <v>41</v>
      </c>
      <c r="Q46" s="39">
        <f t="shared" si="0"/>
        <v>41.038150000000002</v>
      </c>
      <c r="R46" s="40">
        <f t="shared" si="1"/>
        <v>492.45780000000002</v>
      </c>
    </row>
    <row r="47" spans="1:19" outlineLevel="2">
      <c r="A47" s="104"/>
      <c r="B47" s="67">
        <v>62910182</v>
      </c>
      <c r="C47" s="12" t="s">
        <v>39</v>
      </c>
      <c r="D47" s="13">
        <f>'Control Consumo R - 2017'!Q42</f>
        <v>40.5</v>
      </c>
      <c r="E47" s="13">
        <v>43</v>
      </c>
      <c r="F47" s="13">
        <v>43</v>
      </c>
      <c r="G47" s="13">
        <v>43.003999999999998</v>
      </c>
      <c r="H47" s="13">
        <v>43</v>
      </c>
      <c r="I47" s="13">
        <v>43</v>
      </c>
      <c r="J47" s="13">
        <v>43</v>
      </c>
      <c r="K47" s="13">
        <v>43.03</v>
      </c>
      <c r="L47" s="13">
        <v>43</v>
      </c>
      <c r="M47" s="13">
        <v>43</v>
      </c>
      <c r="N47" s="13">
        <v>43</v>
      </c>
      <c r="O47" s="13">
        <v>43</v>
      </c>
      <c r="P47" s="14">
        <v>43.550699999999999</v>
      </c>
      <c r="Q47" s="39">
        <f t="shared" si="0"/>
        <v>43.048724999999997</v>
      </c>
      <c r="R47" s="40">
        <f t="shared" si="1"/>
        <v>516.5847</v>
      </c>
    </row>
    <row r="48" spans="1:19" outlineLevel="2">
      <c r="A48" s="96"/>
      <c r="B48" s="75"/>
      <c r="C48" s="3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  <c r="Q48" s="90"/>
      <c r="R48" s="91"/>
    </row>
    <row r="49" spans="1:18" ht="15" outlineLevel="2" thickBot="1">
      <c r="A49" s="22" t="s">
        <v>33</v>
      </c>
      <c r="B49" s="68"/>
      <c r="C49" s="17"/>
      <c r="D49" s="18">
        <f>'Control Consumo R - 2017'!Q43</f>
        <v>219.52540350000001</v>
      </c>
      <c r="E49" s="18">
        <f>SUBTOTAL(9,E43:E47)</f>
        <v>222.97</v>
      </c>
      <c r="F49" s="18">
        <f t="shared" ref="F49:P49" si="10">SUBTOTAL(9,F43:F47)</f>
        <v>232.60351500000002</v>
      </c>
      <c r="G49" s="18">
        <f t="shared" si="10"/>
        <v>247.362742</v>
      </c>
      <c r="H49" s="18">
        <f t="shared" si="10"/>
        <v>176.40800000000002</v>
      </c>
      <c r="I49" s="18">
        <f t="shared" si="10"/>
        <v>208.31130000000002</v>
      </c>
      <c r="J49" s="18">
        <f t="shared" si="10"/>
        <v>207.88</v>
      </c>
      <c r="K49" s="18">
        <f t="shared" si="10"/>
        <v>208.07</v>
      </c>
      <c r="L49" s="18">
        <f t="shared" si="10"/>
        <v>208.75399999999999</v>
      </c>
      <c r="M49" s="18">
        <f t="shared" si="10"/>
        <v>196.86503299999998</v>
      </c>
      <c r="N49" s="18">
        <f t="shared" si="10"/>
        <v>188.97590300000002</v>
      </c>
      <c r="O49" s="18">
        <f t="shared" si="10"/>
        <v>209.17100000000002</v>
      </c>
      <c r="P49" s="19">
        <f t="shared" si="10"/>
        <v>208.29580000000001</v>
      </c>
      <c r="Q49" s="41">
        <f>SUM(Q43:Q47)</f>
        <v>209.63894108333332</v>
      </c>
      <c r="R49" s="46">
        <f>SUM(E49:P49)</f>
        <v>2515.667293</v>
      </c>
    </row>
    <row r="50" spans="1:18" ht="15" outlineLevel="1" thickBot="1">
      <c r="A50" s="24"/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/>
      <c r="Q50" s="47"/>
      <c r="R50" s="48"/>
    </row>
    <row r="51" spans="1:18" ht="15" outlineLevel="1" thickBot="1">
      <c r="A51" s="28" t="s">
        <v>27</v>
      </c>
      <c r="B51" s="69"/>
      <c r="C51" s="29"/>
      <c r="D51" s="30">
        <f>'Control Consumo R - 2017'!Q45</f>
        <v>8029.3551273333333</v>
      </c>
      <c r="E51" s="30">
        <f t="shared" ref="E51:P51" si="11">SUBTOTAL(9,E2:E47)</f>
        <v>8388.6615440000023</v>
      </c>
      <c r="F51" s="30">
        <f t="shared" si="11"/>
        <v>8700.4136549999985</v>
      </c>
      <c r="G51" s="30">
        <f t="shared" si="11"/>
        <v>8429.9417390000017</v>
      </c>
      <c r="H51" s="30">
        <f t="shared" si="11"/>
        <v>8373.2920200000008</v>
      </c>
      <c r="I51" s="30">
        <f t="shared" si="11"/>
        <v>8399.2822399999986</v>
      </c>
      <c r="J51" s="30">
        <f t="shared" si="11"/>
        <v>8503.062619999997</v>
      </c>
      <c r="K51" s="30">
        <f>SUBTOTAL(9,K2:K47)</f>
        <v>8382.1100000000024</v>
      </c>
      <c r="L51" s="30">
        <f t="shared" si="11"/>
        <v>8594.3738889999986</v>
      </c>
      <c r="M51" s="30">
        <f t="shared" si="11"/>
        <v>8652.7840529999994</v>
      </c>
      <c r="N51" s="30">
        <f t="shared" si="11"/>
        <v>8526.6331819999996</v>
      </c>
      <c r="O51" s="30">
        <f t="shared" si="11"/>
        <v>8635.8339399999986</v>
      </c>
      <c r="P51" s="31">
        <f t="shared" si="11"/>
        <v>9076.0358800000013</v>
      </c>
      <c r="Q51" s="43">
        <f>AVERAGE(E51:P51)</f>
        <v>8555.202063499999</v>
      </c>
      <c r="R51" s="44">
        <f t="shared" si="1"/>
        <v>102662.424762</v>
      </c>
    </row>
    <row r="52" spans="1:18" ht="15" thickBot="1">
      <c r="A52" s="25"/>
      <c r="B52" s="25"/>
      <c r="C52" s="25"/>
      <c r="D52" s="25">
        <f>'Control Consumo R - 2017'!Q44</f>
        <v>0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32"/>
      <c r="Q52" s="47"/>
      <c r="R52" s="48"/>
    </row>
    <row r="53" spans="1:18" ht="15" thickBot="1">
      <c r="A53" s="33" t="s">
        <v>26</v>
      </c>
      <c r="B53" s="70"/>
      <c r="C53" s="29"/>
      <c r="D53" s="30">
        <f>'Control Consumo R - 2017'!Q45</f>
        <v>8029.3551273333333</v>
      </c>
      <c r="E53" s="30">
        <v>8388.66</v>
      </c>
      <c r="F53" s="30">
        <v>8700.41</v>
      </c>
      <c r="G53" s="30">
        <v>8429.94</v>
      </c>
      <c r="H53" s="30">
        <v>8373.2900000000009</v>
      </c>
      <c r="I53" s="30">
        <v>8399.2800000000007</v>
      </c>
      <c r="J53" s="30">
        <v>8503.31</v>
      </c>
      <c r="K53" s="30">
        <v>8382.11</v>
      </c>
      <c r="L53" s="30">
        <f>8137.87+456.5</f>
        <v>8594.369999999999</v>
      </c>
      <c r="M53" s="30">
        <v>8544.0499999999993</v>
      </c>
      <c r="N53" s="30">
        <v>8526.6299999999992</v>
      </c>
      <c r="O53" s="30">
        <v>8635.83</v>
      </c>
      <c r="P53" s="31">
        <v>9076.0400000000009</v>
      </c>
      <c r="Q53" s="43">
        <f>AVERAGE(E53:P53)</f>
        <v>8546.1600000000017</v>
      </c>
      <c r="R53" s="44">
        <f t="shared" si="1"/>
        <v>102553.92000000001</v>
      </c>
    </row>
    <row r="54" spans="1:18" s="37" customFormat="1">
      <c r="A54" s="35"/>
      <c r="B54" s="35"/>
      <c r="C54" s="35"/>
      <c r="D54" s="35"/>
      <c r="E54" s="38"/>
      <c r="F54" s="38"/>
      <c r="G54" s="38"/>
      <c r="H54" s="38"/>
      <c r="I54" s="79"/>
      <c r="J54" s="38"/>
      <c r="K54" s="79"/>
      <c r="L54" s="38"/>
      <c r="M54" s="38"/>
      <c r="N54" s="38"/>
      <c r="O54" s="79"/>
      <c r="P54" s="38"/>
      <c r="Q54" s="79"/>
      <c r="R54" s="79"/>
    </row>
    <row r="55" spans="1:18">
      <c r="E55" s="38"/>
      <c r="F55" s="38"/>
      <c r="H55" s="38"/>
      <c r="I55" s="38"/>
      <c r="J55" s="38"/>
      <c r="K55" s="38"/>
      <c r="L55" s="38"/>
      <c r="M55" s="38"/>
      <c r="O55" s="38"/>
      <c r="P55" s="38"/>
    </row>
    <row r="56" spans="1:18">
      <c r="G56" s="38"/>
      <c r="J56" s="38"/>
      <c r="M56" s="38"/>
    </row>
    <row r="57" spans="1:18">
      <c r="I57" s="38"/>
    </row>
    <row r="58" spans="1:18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60" spans="1:18">
      <c r="I60" s="38"/>
    </row>
  </sheetData>
  <mergeCells count="4">
    <mergeCell ref="A2:A7"/>
    <mergeCell ref="A9:A19"/>
    <mergeCell ref="A43:A47"/>
    <mergeCell ref="A24:A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0"/>
  <sheetViews>
    <sheetView topLeftCell="A37" workbookViewId="0">
      <selection activeCell="Q49" sqref="Q49"/>
    </sheetView>
  </sheetViews>
  <sheetFormatPr baseColWidth="10" defaultColWidth="11.44140625" defaultRowHeight="14.4" outlineLevelRow="2"/>
  <cols>
    <col min="1" max="1" width="25.44140625" style="35" customWidth="1"/>
    <col min="2" max="2" width="10" style="35" bestFit="1" customWidth="1"/>
    <col min="3" max="3" width="15" style="35" bestFit="1" customWidth="1"/>
    <col min="4" max="4" width="14.109375" style="35" bestFit="1" customWidth="1"/>
    <col min="5" max="5" width="13.6640625" style="79" bestFit="1" customWidth="1"/>
    <col min="6" max="7" width="12.6640625" style="79" bestFit="1" customWidth="1"/>
    <col min="8" max="10" width="12" style="79" bestFit="1" customWidth="1"/>
    <col min="11" max="11" width="12.5546875" style="79" bestFit="1" customWidth="1"/>
    <col min="12" max="14" width="11.5546875" style="79" bestFit="1" customWidth="1"/>
    <col min="15" max="15" width="12.33203125" style="79" bestFit="1" customWidth="1"/>
    <col min="16" max="16" width="11.5546875" style="79" bestFit="1" customWidth="1"/>
    <col min="17" max="17" width="14.109375" style="79" bestFit="1" customWidth="1"/>
    <col min="18" max="18" width="12.5546875" style="79" bestFit="1" customWidth="1"/>
    <col min="19" max="16384" width="11.44140625" style="35"/>
  </cols>
  <sheetData>
    <row r="1" spans="1:18" ht="15" thickBot="1">
      <c r="A1" s="3"/>
      <c r="B1" s="78" t="s">
        <v>47</v>
      </c>
      <c r="C1" s="3"/>
      <c r="D1" s="5" t="str">
        <f>'Control Consumo R - 2018'!Q1</f>
        <v>Promedio 2018</v>
      </c>
      <c r="E1" s="5">
        <v>43466</v>
      </c>
      <c r="F1" s="5">
        <v>43497</v>
      </c>
      <c r="G1" s="5">
        <v>43525</v>
      </c>
      <c r="H1" s="5">
        <v>43556</v>
      </c>
      <c r="I1" s="5">
        <v>43586</v>
      </c>
      <c r="J1" s="5">
        <v>43617</v>
      </c>
      <c r="K1" s="5">
        <v>43647</v>
      </c>
      <c r="L1" s="5">
        <v>43678</v>
      </c>
      <c r="M1" s="5">
        <v>43709</v>
      </c>
      <c r="N1" s="5">
        <v>43739</v>
      </c>
      <c r="O1" s="5">
        <v>43770</v>
      </c>
      <c r="P1" s="5">
        <v>43800</v>
      </c>
      <c r="Q1" s="42" t="s">
        <v>70</v>
      </c>
      <c r="R1" s="34" t="s">
        <v>71</v>
      </c>
    </row>
    <row r="2" spans="1:18" outlineLevel="2">
      <c r="A2" s="105" t="s">
        <v>0</v>
      </c>
      <c r="B2" s="73">
        <v>62910182</v>
      </c>
      <c r="C2" s="9" t="s">
        <v>22</v>
      </c>
      <c r="D2" s="10">
        <f>'Control Consumo R - 2018'!Q2</f>
        <v>1998.0356833333335</v>
      </c>
      <c r="E2" s="10">
        <f>1137.040304-24</f>
        <v>1113.0403040000001</v>
      </c>
      <c r="F2" s="10">
        <f>1156.339404+25</f>
        <v>1181.3394040000001</v>
      </c>
      <c r="G2" s="10">
        <v>1109.8508000000002</v>
      </c>
      <c r="H2" s="10">
        <f>1237.108</f>
        <v>1237.1079999999999</v>
      </c>
      <c r="I2" s="10">
        <f>1108.3726+25</f>
        <v>1133.3725999999999</v>
      </c>
      <c r="J2" s="10">
        <f>1265.7188-76.8+25</f>
        <v>1213.9188000000001</v>
      </c>
      <c r="K2" s="10">
        <v>1105.8322000000001</v>
      </c>
      <c r="L2" s="10">
        <f>1276.2134-168</f>
        <v>1108.2134000000001</v>
      </c>
      <c r="M2" s="10">
        <f>1107.8894+25</f>
        <v>1132.8894</v>
      </c>
      <c r="N2" s="10">
        <v>1205.3119999999999</v>
      </c>
      <c r="O2" s="10">
        <v>1108.3508999999999</v>
      </c>
      <c r="P2" s="11">
        <f>1553.9989-458.55</f>
        <v>1095.4489000000001</v>
      </c>
      <c r="Q2" s="45">
        <f t="shared" ref="Q2:Q48" si="0">AVERAGE(E2:P2)</f>
        <v>1145.3897256666667</v>
      </c>
      <c r="R2" s="36">
        <f>SUM(E2:P2)</f>
        <v>13744.676707999999</v>
      </c>
    </row>
    <row r="3" spans="1:18" outlineLevel="2">
      <c r="A3" s="106"/>
      <c r="B3" s="80">
        <v>62910036</v>
      </c>
      <c r="C3" s="12" t="s">
        <v>21</v>
      </c>
      <c r="D3" s="13">
        <f>'Control Consumo R - 2018'!Q3+80</f>
        <v>270.13916666666671</v>
      </c>
      <c r="E3" s="13">
        <f>24+97+62.5</f>
        <v>183.5</v>
      </c>
      <c r="F3" s="13">
        <f>121+62.5-25</f>
        <v>158.5</v>
      </c>
      <c r="G3" s="13">
        <f>193+62.5</f>
        <v>255.5</v>
      </c>
      <c r="H3" s="13">
        <v>62.5</v>
      </c>
      <c r="I3" s="13">
        <v>62.5</v>
      </c>
      <c r="J3" s="95">
        <f>76.8+65.2</f>
        <v>142</v>
      </c>
      <c r="K3" s="13">
        <v>65.2</v>
      </c>
      <c r="L3" s="13">
        <f>24+168+62.5</f>
        <v>254.5</v>
      </c>
      <c r="M3" s="13">
        <v>65.2</v>
      </c>
      <c r="N3" s="13">
        <v>47.75</v>
      </c>
      <c r="O3" s="13">
        <f>24</f>
        <v>24</v>
      </c>
      <c r="P3" s="14">
        <f>24+458.55</f>
        <v>482.55</v>
      </c>
      <c r="Q3" s="39">
        <f t="shared" si="0"/>
        <v>150.30833333333334</v>
      </c>
      <c r="R3" s="40">
        <f t="shared" ref="R3:R53" si="1">SUM(E3:P3)</f>
        <v>1803.7</v>
      </c>
    </row>
    <row r="4" spans="1:18" outlineLevel="2">
      <c r="A4" s="106"/>
      <c r="B4" s="72">
        <v>62910182</v>
      </c>
      <c r="C4" s="12" t="s">
        <v>25</v>
      </c>
      <c r="D4" s="13">
        <f>'Control Consumo R - 2018'!Q4</f>
        <v>4333.1948657499997</v>
      </c>
      <c r="E4" s="13">
        <v>2755.5419359999996</v>
      </c>
      <c r="F4" s="13">
        <v>2792.9071440000002</v>
      </c>
      <c r="G4" s="13">
        <v>2795.8</v>
      </c>
      <c r="H4" s="13">
        <f>2795.8+25</f>
        <v>2820.8</v>
      </c>
      <c r="I4" s="13">
        <f>2795.8+2534.503527</f>
        <v>5330.303527</v>
      </c>
      <c r="J4" s="13">
        <f>2803.5</f>
        <v>2803.5</v>
      </c>
      <c r="K4" s="13">
        <f>25+2816.8+2534.5+2534.5</f>
        <v>7910.8</v>
      </c>
      <c r="L4" s="13">
        <f>49-24+3260.08+2534.5</f>
        <v>5819.58</v>
      </c>
      <c r="M4" s="13">
        <f>3014.18+2534.5</f>
        <v>5548.68</v>
      </c>
      <c r="N4" s="13">
        <f>19.354839+5221.426775</f>
        <v>5240.7816139999995</v>
      </c>
      <c r="O4" s="13">
        <v>5204.9299999999994</v>
      </c>
      <c r="P4" s="14">
        <v>5388.2654840000005</v>
      </c>
      <c r="Q4" s="39">
        <f t="shared" ref="Q4:Q7" si="2">AVERAGE(E4:P4)</f>
        <v>4534.3241420833338</v>
      </c>
      <c r="R4" s="40">
        <f t="shared" ref="R4:R7" si="3">SUM(E4:P4)</f>
        <v>54411.889705000001</v>
      </c>
    </row>
    <row r="5" spans="1:18" outlineLevel="2">
      <c r="A5" s="106"/>
      <c r="B5" s="73">
        <v>62910182</v>
      </c>
      <c r="C5" s="12" t="s">
        <v>57</v>
      </c>
      <c r="D5" s="13">
        <f>'Control Consumo R - 2018'!Q5</f>
        <v>151.46183333333332</v>
      </c>
      <c r="E5" s="13">
        <v>124.99832000000001</v>
      </c>
      <c r="F5" s="13">
        <v>124.99832000000001</v>
      </c>
      <c r="G5" s="13">
        <v>124.99832000000001</v>
      </c>
      <c r="H5" s="13">
        <v>124.99832000000001</v>
      </c>
      <c r="I5" s="13">
        <v>124.99832000000001</v>
      </c>
      <c r="J5" s="13">
        <v>124.99832000000001</v>
      </c>
      <c r="K5" s="13">
        <v>3.9239999999999995</v>
      </c>
      <c r="L5" s="13">
        <v>69</v>
      </c>
      <c r="M5" s="13">
        <v>69</v>
      </c>
      <c r="N5" s="13">
        <v>69</v>
      </c>
      <c r="O5" s="13">
        <v>69</v>
      </c>
      <c r="P5" s="14">
        <v>69</v>
      </c>
      <c r="Q5" s="39">
        <f t="shared" si="2"/>
        <v>91.576160000000002</v>
      </c>
      <c r="R5" s="40">
        <f t="shared" si="3"/>
        <v>1098.91392</v>
      </c>
    </row>
    <row r="6" spans="1:18" outlineLevel="2">
      <c r="A6" s="106"/>
      <c r="B6" s="72">
        <v>62910182</v>
      </c>
      <c r="C6" s="12" t="s">
        <v>34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39">
        <v>0</v>
      </c>
      <c r="R6" s="40">
        <f t="shared" si="3"/>
        <v>0</v>
      </c>
    </row>
    <row r="7" spans="1:18" outlineLevel="2">
      <c r="A7" s="107"/>
      <c r="B7" s="72">
        <v>62910182</v>
      </c>
      <c r="C7" s="12" t="s">
        <v>72</v>
      </c>
      <c r="D7" s="13">
        <v>0</v>
      </c>
      <c r="E7" s="13">
        <v>28.000350999999998</v>
      </c>
      <c r="F7" s="13">
        <v>28.000350999999998</v>
      </c>
      <c r="G7" s="13">
        <v>28.000350999999998</v>
      </c>
      <c r="H7" s="13">
        <v>28.000426000000001</v>
      </c>
      <c r="I7" s="13">
        <v>28.000426000000001</v>
      </c>
      <c r="J7" s="13">
        <v>28.000426000000001</v>
      </c>
      <c r="K7" s="13">
        <v>28.000426000000001</v>
      </c>
      <c r="L7" s="13">
        <v>28.000426000000001</v>
      </c>
      <c r="M7" s="13">
        <v>28.000426000000001</v>
      </c>
      <c r="N7" s="13">
        <v>28.000426000000001</v>
      </c>
      <c r="O7" s="13">
        <v>28.000426000000001</v>
      </c>
      <c r="P7" s="14">
        <v>77.675055000000015</v>
      </c>
      <c r="Q7" s="39">
        <f t="shared" si="2"/>
        <v>32.13995966666667</v>
      </c>
      <c r="R7" s="40">
        <f t="shared" si="3"/>
        <v>385.67951600000004</v>
      </c>
    </row>
    <row r="8" spans="1:18" ht="15" outlineLevel="1" thickBot="1">
      <c r="A8" s="16" t="s">
        <v>28</v>
      </c>
      <c r="B8" s="65">
        <v>62910182</v>
      </c>
      <c r="C8" s="17"/>
      <c r="D8" s="18">
        <f>'Control Consumo R - 2018'!Q8</f>
        <v>6672.8315490833338</v>
      </c>
      <c r="E8" s="18">
        <f>SUBTOTAL(9,E2:E7)</f>
        <v>4205.0809109999991</v>
      </c>
      <c r="F8" s="18">
        <f t="shared" ref="F8:P8" si="4">SUBTOTAL(9,F2:F7)</f>
        <v>4285.7452189999995</v>
      </c>
      <c r="G8" s="18">
        <f t="shared" si="4"/>
        <v>4314.1494709999997</v>
      </c>
      <c r="H8" s="18">
        <f t="shared" si="4"/>
        <v>4273.4067459999997</v>
      </c>
      <c r="I8" s="18">
        <f t="shared" si="4"/>
        <v>6679.174872999999</v>
      </c>
      <c r="J8" s="18">
        <f t="shared" si="4"/>
        <v>4312.4175459999997</v>
      </c>
      <c r="K8" s="18">
        <f>SUBTOTAL(9,K2:K7)</f>
        <v>9113.7566260000021</v>
      </c>
      <c r="L8" s="18">
        <f t="shared" si="4"/>
        <v>7279.2938260000001</v>
      </c>
      <c r="M8" s="18">
        <f t="shared" si="4"/>
        <v>6843.7698259999997</v>
      </c>
      <c r="N8" s="18">
        <f t="shared" si="4"/>
        <v>6590.844039999999</v>
      </c>
      <c r="O8" s="18">
        <f t="shared" si="4"/>
        <v>6434.2813259999994</v>
      </c>
      <c r="P8" s="19">
        <f t="shared" si="4"/>
        <v>7112.9394389999998</v>
      </c>
      <c r="Q8" s="41">
        <f>SUM(Q2:Q7)</f>
        <v>5953.7383207500006</v>
      </c>
      <c r="R8" s="46">
        <f t="shared" si="1"/>
        <v>71444.859848999986</v>
      </c>
    </row>
    <row r="9" spans="1:18" outlineLevel="2">
      <c r="A9" s="103" t="s">
        <v>29</v>
      </c>
      <c r="B9" s="66">
        <v>62910106</v>
      </c>
      <c r="C9" s="21" t="s">
        <v>11</v>
      </c>
      <c r="D9" s="10">
        <f>'Control Consumo R - 2018'!Q9</f>
        <v>45.202116666666662</v>
      </c>
      <c r="E9" s="10">
        <v>37.099200000000003</v>
      </c>
      <c r="F9" s="10">
        <v>37.037199999999999</v>
      </c>
      <c r="G9" s="10">
        <v>36.999200000000002</v>
      </c>
      <c r="H9" s="10">
        <v>36.999200000000002</v>
      </c>
      <c r="I9" s="10">
        <v>37.017200000000003</v>
      </c>
      <c r="J9" s="10">
        <v>36.999200000000002</v>
      </c>
      <c r="K9" s="10">
        <v>36.999200000000002</v>
      </c>
      <c r="L9" s="10">
        <v>36.999200000000002</v>
      </c>
      <c r="M9" s="10">
        <v>36.999200000000002</v>
      </c>
      <c r="N9" s="10">
        <v>36.999200000000002</v>
      </c>
      <c r="O9" s="10">
        <v>37.047200000000004</v>
      </c>
      <c r="P9" s="11">
        <v>36.999200000000002</v>
      </c>
      <c r="Q9" s="45">
        <f t="shared" si="0"/>
        <v>37.016199999999991</v>
      </c>
      <c r="R9" s="36">
        <f t="shared" si="1"/>
        <v>444.19439999999986</v>
      </c>
    </row>
    <row r="10" spans="1:18" outlineLevel="2">
      <c r="A10" s="104"/>
      <c r="B10" s="67">
        <v>62910104</v>
      </c>
      <c r="C10" s="12" t="s">
        <v>12</v>
      </c>
      <c r="D10" s="13">
        <f>'Control Consumo R - 2018'!Q10</f>
        <v>52.885801083333327</v>
      </c>
      <c r="E10" s="13">
        <v>75.275999999999996</v>
      </c>
      <c r="F10" s="13">
        <v>75.777999999999992</v>
      </c>
      <c r="G10" s="13">
        <v>70.072000000000003</v>
      </c>
      <c r="H10" s="13">
        <v>71.138000000000005</v>
      </c>
      <c r="I10" s="13">
        <v>71.045000000000002</v>
      </c>
      <c r="J10" s="13">
        <v>74.352000000000004</v>
      </c>
      <c r="K10" s="13">
        <v>71.156000000000006</v>
      </c>
      <c r="L10" s="13">
        <v>70.122</v>
      </c>
      <c r="M10" s="13">
        <v>70.238</v>
      </c>
      <c r="N10" s="13">
        <v>70.367999999999995</v>
      </c>
      <c r="O10" s="13">
        <v>70.198000000000008</v>
      </c>
      <c r="P10" s="14">
        <v>70.19</v>
      </c>
      <c r="Q10" s="39">
        <f t="shared" si="0"/>
        <v>71.661083333333337</v>
      </c>
      <c r="R10" s="40">
        <f t="shared" si="1"/>
        <v>859.93299999999999</v>
      </c>
    </row>
    <row r="11" spans="1:18" outlineLevel="2">
      <c r="A11" s="104"/>
      <c r="B11" s="67">
        <v>62910102</v>
      </c>
      <c r="C11" s="12" t="s">
        <v>13</v>
      </c>
      <c r="D11" s="13">
        <f>'Control Consumo R - 2018'!Q11</f>
        <v>69.07364166666666</v>
      </c>
      <c r="E11" s="13">
        <v>66.501199999999997</v>
      </c>
      <c r="F11" s="13">
        <v>66.501199999999997</v>
      </c>
      <c r="G11" s="13">
        <v>66.501199999999997</v>
      </c>
      <c r="H11" s="13">
        <v>66.519199999999998</v>
      </c>
      <c r="I11" s="13">
        <v>66.623199999999997</v>
      </c>
      <c r="J11" s="13">
        <v>66.501199999999997</v>
      </c>
      <c r="K11" s="88">
        <v>66.501199999999997</v>
      </c>
      <c r="L11" s="88">
        <v>67.794899999999998</v>
      </c>
      <c r="M11" s="13">
        <v>66.501199999999997</v>
      </c>
      <c r="N11" s="13">
        <v>66.501199999999997</v>
      </c>
      <c r="O11" s="13">
        <v>66.501199999999997</v>
      </c>
      <c r="P11" s="14">
        <v>66.636200000000002</v>
      </c>
      <c r="Q11" s="39">
        <f t="shared" si="0"/>
        <v>66.63192500000001</v>
      </c>
      <c r="R11" s="40">
        <f t="shared" si="1"/>
        <v>799.58310000000017</v>
      </c>
    </row>
    <row r="12" spans="1:18" outlineLevel="2">
      <c r="A12" s="104"/>
      <c r="B12" s="67">
        <v>62910105</v>
      </c>
      <c r="C12" s="12" t="s">
        <v>14</v>
      </c>
      <c r="D12" s="13">
        <f>'Control Consumo R - 2018'!Q12</f>
        <v>45.818358333333329</v>
      </c>
      <c r="E12" s="13">
        <v>42.783999999999999</v>
      </c>
      <c r="F12" s="13">
        <v>42.921999999999997</v>
      </c>
      <c r="G12" s="13">
        <v>43.631999999999998</v>
      </c>
      <c r="H12" s="13">
        <v>42.927999999999997</v>
      </c>
      <c r="I12" s="13">
        <v>43.915999999999997</v>
      </c>
      <c r="J12" s="13">
        <v>44.25</v>
      </c>
      <c r="K12" s="13">
        <v>43.585999999999999</v>
      </c>
      <c r="L12" s="13">
        <v>42.9</v>
      </c>
      <c r="M12" s="13">
        <v>43.712000000000003</v>
      </c>
      <c r="N12" s="13">
        <v>43.405999999999999</v>
      </c>
      <c r="O12" s="13">
        <v>44.506</v>
      </c>
      <c r="P12" s="14">
        <v>48.646000000000001</v>
      </c>
      <c r="Q12" s="39">
        <f t="shared" si="0"/>
        <v>43.932333333333332</v>
      </c>
      <c r="R12" s="40">
        <f t="shared" si="1"/>
        <v>527.18799999999999</v>
      </c>
    </row>
    <row r="13" spans="1:18" outlineLevel="2">
      <c r="A13" s="104"/>
      <c r="B13" s="67">
        <v>62910103</v>
      </c>
      <c r="C13" s="12" t="s">
        <v>15</v>
      </c>
      <c r="D13" s="13">
        <f>'Control Consumo R - 2018'!Q13</f>
        <v>44.643941666666677</v>
      </c>
      <c r="E13" s="13">
        <v>40.362900000000003</v>
      </c>
      <c r="F13" s="13">
        <v>35.751199999999997</v>
      </c>
      <c r="G13" s="13">
        <v>35.137</v>
      </c>
      <c r="H13" s="13">
        <v>35.571200000000005</v>
      </c>
      <c r="I13" s="13">
        <v>34.930700000000002</v>
      </c>
      <c r="J13" s="13">
        <v>34.827200000000005</v>
      </c>
      <c r="K13" s="13">
        <v>40.197200000000002</v>
      </c>
      <c r="L13" s="13">
        <v>34.781199999999998</v>
      </c>
      <c r="M13" s="13">
        <v>37.927900000000001</v>
      </c>
      <c r="N13" s="13">
        <v>34.597200000000001</v>
      </c>
      <c r="O13" s="13">
        <v>35.537000000000006</v>
      </c>
      <c r="P13" s="14">
        <v>34.505200000000002</v>
      </c>
      <c r="Q13" s="39">
        <f t="shared" si="0"/>
        <v>36.177158333333338</v>
      </c>
      <c r="R13" s="40">
        <f t="shared" si="1"/>
        <v>434.12590000000006</v>
      </c>
    </row>
    <row r="14" spans="1:18" outlineLevel="2">
      <c r="A14" s="104"/>
      <c r="B14" s="67">
        <v>62910110</v>
      </c>
      <c r="C14" s="12" t="s">
        <v>16</v>
      </c>
      <c r="D14" s="13">
        <f>'Control Consumo R - 2018'!Q14</f>
        <v>45.011499999999991</v>
      </c>
      <c r="E14" s="13">
        <v>34.499200000000002</v>
      </c>
      <c r="F14" s="13">
        <v>35.320999999999998</v>
      </c>
      <c r="G14" s="13">
        <v>34.499200000000002</v>
      </c>
      <c r="H14" s="13">
        <v>34.499200000000002</v>
      </c>
      <c r="I14" s="13">
        <v>34.499200000000002</v>
      </c>
      <c r="J14" s="13">
        <v>36.060900000000004</v>
      </c>
      <c r="K14" s="13">
        <v>34.499200000000002</v>
      </c>
      <c r="L14" s="13">
        <v>34.499200000000002</v>
      </c>
      <c r="M14" s="13">
        <v>34.499200000000002</v>
      </c>
      <c r="N14" s="13">
        <v>34.499200000000002</v>
      </c>
      <c r="O14" s="13">
        <v>34.499200000000002</v>
      </c>
      <c r="P14" s="14">
        <v>34.999200000000002</v>
      </c>
      <c r="Q14" s="39">
        <f t="shared" ref="Q14:Q17" si="5">AVERAGE(E14:P14)</f>
        <v>34.739491666666659</v>
      </c>
      <c r="R14" s="40">
        <f t="shared" ref="R14:R17" si="6">SUM(E14:P14)</f>
        <v>416.87389999999994</v>
      </c>
    </row>
    <row r="15" spans="1:18" outlineLevel="2">
      <c r="A15" s="104"/>
      <c r="B15" s="67">
        <v>62910107</v>
      </c>
      <c r="C15" s="12" t="s">
        <v>23</v>
      </c>
      <c r="D15" s="13">
        <f>'Control Consumo R - 2018'!Q15</f>
        <v>41.121341666666666</v>
      </c>
      <c r="E15" s="13">
        <v>35.929500000000004</v>
      </c>
      <c r="F15" s="13">
        <v>35.170700000000004</v>
      </c>
      <c r="G15" s="13">
        <v>35.101799999999997</v>
      </c>
      <c r="H15" s="13">
        <v>34.999200000000002</v>
      </c>
      <c r="I15" s="13">
        <v>34.999200000000002</v>
      </c>
      <c r="J15" s="13">
        <v>34.999200000000002</v>
      </c>
      <c r="K15" s="13">
        <v>34.999200000000002</v>
      </c>
      <c r="L15" s="13">
        <v>34.999200000000002</v>
      </c>
      <c r="M15" s="13">
        <v>35.033500000000004</v>
      </c>
      <c r="N15" s="13">
        <v>35.136400000000002</v>
      </c>
      <c r="O15" s="13">
        <v>35.013199999999998</v>
      </c>
      <c r="P15" s="14">
        <v>34.999200000000002</v>
      </c>
      <c r="Q15" s="39">
        <f t="shared" si="5"/>
        <v>35.115024999999996</v>
      </c>
      <c r="R15" s="40">
        <f t="shared" si="6"/>
        <v>421.38029999999992</v>
      </c>
    </row>
    <row r="16" spans="1:18" outlineLevel="2">
      <c r="A16" s="104"/>
      <c r="B16" s="67">
        <v>62910114</v>
      </c>
      <c r="C16" s="12" t="s">
        <v>17</v>
      </c>
      <c r="D16" s="13">
        <f>'Control Consumo R - 2018'!Q16</f>
        <v>47.226550000000003</v>
      </c>
      <c r="E16" s="13">
        <v>47.0276</v>
      </c>
      <c r="F16" s="13">
        <v>44.64</v>
      </c>
      <c r="G16" s="13">
        <v>44.782000000000004</v>
      </c>
      <c r="H16" s="13">
        <v>44.591999999999999</v>
      </c>
      <c r="I16" s="13">
        <v>44.5</v>
      </c>
      <c r="J16" s="13">
        <v>44.8245</v>
      </c>
      <c r="K16" s="88">
        <v>44.601999999999997</v>
      </c>
      <c r="L16" s="88">
        <v>44.618000000000002</v>
      </c>
      <c r="M16" s="13">
        <v>44.747999999999998</v>
      </c>
      <c r="N16" s="13">
        <v>44.704000000000001</v>
      </c>
      <c r="O16" s="13">
        <v>44.5</v>
      </c>
      <c r="P16" s="14">
        <v>44.624000000000002</v>
      </c>
      <c r="Q16" s="39">
        <f t="shared" si="5"/>
        <v>44.84684166666667</v>
      </c>
      <c r="R16" s="40">
        <f t="shared" si="6"/>
        <v>538.16210000000001</v>
      </c>
    </row>
    <row r="17" spans="1:18" outlineLevel="2">
      <c r="A17" s="104"/>
      <c r="B17" s="67">
        <v>62910236</v>
      </c>
      <c r="C17" s="12" t="s">
        <v>43</v>
      </c>
      <c r="D17" s="13">
        <f>'Control Consumo R - 2018'!Q17</f>
        <v>48.731841666666661</v>
      </c>
      <c r="E17" s="13">
        <v>45.81</v>
      </c>
      <c r="F17" s="13">
        <v>45.5807</v>
      </c>
      <c r="G17" s="13">
        <v>48.753999999999998</v>
      </c>
      <c r="H17" s="13">
        <v>48.154000000000003</v>
      </c>
      <c r="I17" s="13">
        <v>46.5</v>
      </c>
      <c r="J17" s="13">
        <v>49.711999999999996</v>
      </c>
      <c r="K17" s="13">
        <v>45.136000000000003</v>
      </c>
      <c r="L17" s="13">
        <v>49.054000000000002</v>
      </c>
      <c r="M17" s="13">
        <v>46.688000000000002</v>
      </c>
      <c r="N17" s="13">
        <v>45.798000000000002</v>
      </c>
      <c r="O17" s="13">
        <v>49.994</v>
      </c>
      <c r="P17" s="14">
        <v>49.654000000000003</v>
      </c>
      <c r="Q17" s="39">
        <f t="shared" si="5"/>
        <v>47.569558333333333</v>
      </c>
      <c r="R17" s="40">
        <f t="shared" si="6"/>
        <v>570.8347</v>
      </c>
    </row>
    <row r="18" spans="1:18" outlineLevel="2">
      <c r="A18" s="104"/>
      <c r="B18" s="67">
        <v>62910239</v>
      </c>
      <c r="C18" s="12" t="s">
        <v>54</v>
      </c>
      <c r="D18" s="13">
        <f>'Control Consumo R - 2018'!Q18</f>
        <v>94.357966666666655</v>
      </c>
      <c r="E18" s="13">
        <v>87.531903999999997</v>
      </c>
      <c r="F18" s="13">
        <v>89.136603999999991</v>
      </c>
      <c r="G18" s="13">
        <v>86.874603999999991</v>
      </c>
      <c r="H18" s="13">
        <v>86.847604000000004</v>
      </c>
      <c r="I18" s="13">
        <v>197.49328099999997</v>
      </c>
      <c r="J18" s="13">
        <v>270.82825200000002</v>
      </c>
      <c r="K18" s="13">
        <v>206.19148499999997</v>
      </c>
      <c r="L18" s="13">
        <v>203.07760399999998</v>
      </c>
      <c r="M18" s="13">
        <v>-119.83139600000003</v>
      </c>
      <c r="N18" s="13">
        <v>107.46760400000001</v>
      </c>
      <c r="O18" s="13">
        <v>103.734404</v>
      </c>
      <c r="P18" s="14">
        <v>104.24960399999999</v>
      </c>
      <c r="Q18" s="39">
        <f t="shared" si="0"/>
        <v>118.63346283333334</v>
      </c>
      <c r="R18" s="40">
        <f t="shared" ref="R18:R22" si="7">SUM(E18:P18)</f>
        <v>1423.6015540000001</v>
      </c>
    </row>
    <row r="19" spans="1:18" outlineLevel="2">
      <c r="A19" s="104"/>
      <c r="B19" s="67"/>
      <c r="C19" s="12" t="s">
        <v>68</v>
      </c>
      <c r="D19" s="13">
        <f>'Control Consumo R - 2018'!Q19</f>
        <v>46.328756499999997</v>
      </c>
      <c r="E19" s="13">
        <v>68.775900000000007</v>
      </c>
      <c r="F19" s="13">
        <v>53.981299999999997</v>
      </c>
      <c r="G19" s="13">
        <v>53.606500000000004</v>
      </c>
      <c r="H19" s="13">
        <v>55.678799999999995</v>
      </c>
      <c r="I19" s="13">
        <v>52.226799999999997</v>
      </c>
      <c r="J19" s="13">
        <v>55.173900000000003</v>
      </c>
      <c r="K19" s="13">
        <v>53.203199999999995</v>
      </c>
      <c r="L19" s="13">
        <v>52.278700000000001</v>
      </c>
      <c r="M19" s="13">
        <v>50.3003</v>
      </c>
      <c r="N19" s="13">
        <v>55.3551</v>
      </c>
      <c r="O19" s="13">
        <v>52.279299999999999</v>
      </c>
      <c r="P19" s="14">
        <v>52.081700000000005</v>
      </c>
      <c r="Q19" s="39">
        <f t="shared" si="0"/>
        <v>54.578458333333337</v>
      </c>
      <c r="R19" s="40">
        <f t="shared" si="7"/>
        <v>654.94150000000002</v>
      </c>
    </row>
    <row r="20" spans="1:18" outlineLevel="2">
      <c r="A20" s="96"/>
      <c r="B20" s="75"/>
      <c r="C20" s="3" t="s">
        <v>74</v>
      </c>
      <c r="D20" s="13">
        <f>'Control Consumo R - 2018'!Q20</f>
        <v>0</v>
      </c>
      <c r="E20" s="76"/>
      <c r="F20" s="76"/>
      <c r="G20" s="76"/>
      <c r="H20" s="76"/>
      <c r="I20" s="76"/>
      <c r="J20" s="76"/>
      <c r="K20" s="76"/>
      <c r="L20" s="76">
        <v>148.81290200000001</v>
      </c>
      <c r="M20" s="76">
        <v>42.141767000000002</v>
      </c>
      <c r="N20" s="76">
        <v>52</v>
      </c>
      <c r="O20" s="76">
        <v>52</v>
      </c>
      <c r="P20" s="77">
        <v>52</v>
      </c>
      <c r="Q20" s="39">
        <f t="shared" si="0"/>
        <v>69.390933799999999</v>
      </c>
      <c r="R20" s="40">
        <f t="shared" si="7"/>
        <v>346.95466900000002</v>
      </c>
    </row>
    <row r="21" spans="1:18" outlineLevel="2">
      <c r="A21" s="96"/>
      <c r="B21" s="75"/>
      <c r="C21" s="3" t="s">
        <v>75</v>
      </c>
      <c r="D21" s="13">
        <f>'Control Consumo R - 2018'!Q21</f>
        <v>0</v>
      </c>
      <c r="E21" s="76"/>
      <c r="F21" s="76"/>
      <c r="G21" s="76"/>
      <c r="H21" s="76"/>
      <c r="I21" s="76"/>
      <c r="J21" s="76"/>
      <c r="K21" s="76"/>
      <c r="L21" s="76">
        <v>33.930619999999998</v>
      </c>
      <c r="M21" s="76">
        <v>76.812782999999996</v>
      </c>
      <c r="N21" s="76">
        <v>76.812782999999996</v>
      </c>
      <c r="O21" s="76">
        <v>76.812782999999996</v>
      </c>
      <c r="P21" s="77">
        <v>76.812782999999996</v>
      </c>
      <c r="Q21" s="39">
        <f t="shared" si="0"/>
        <v>68.236350399999992</v>
      </c>
      <c r="R21" s="40">
        <f t="shared" si="7"/>
        <v>341.18175199999996</v>
      </c>
    </row>
    <row r="22" spans="1:18" outlineLevel="2">
      <c r="A22" s="96"/>
      <c r="B22" s="75"/>
      <c r="C22" s="3" t="s">
        <v>76</v>
      </c>
      <c r="D22" s="13">
        <f>'Control Consumo R - 2018'!Q22</f>
        <v>0</v>
      </c>
      <c r="E22" s="76"/>
      <c r="F22" s="76"/>
      <c r="G22" s="76"/>
      <c r="H22" s="76"/>
      <c r="I22" s="76"/>
      <c r="J22" s="76"/>
      <c r="K22" s="76"/>
      <c r="L22" s="76"/>
      <c r="M22" s="76">
        <v>16.424281000000001</v>
      </c>
      <c r="N22" s="76">
        <f>41.060703+36.541271</f>
        <v>77.601973999999998</v>
      </c>
      <c r="O22" s="76">
        <f>85.232+41.060703</f>
        <v>126.29270299999999</v>
      </c>
      <c r="P22" s="77">
        <f>-71.359355+67.7847</f>
        <v>-3.5746549999999928</v>
      </c>
      <c r="Q22" s="39">
        <f t="shared" si="0"/>
        <v>54.186075750000001</v>
      </c>
      <c r="R22" s="40">
        <f t="shared" si="7"/>
        <v>216.744303</v>
      </c>
    </row>
    <row r="23" spans="1:18" ht="15" outlineLevel="1" thickBot="1">
      <c r="A23" s="22" t="s">
        <v>30</v>
      </c>
      <c r="B23" s="74"/>
      <c r="C23" s="17"/>
      <c r="D23" s="18">
        <f>'Control Consumo R - 2018'!Q19</f>
        <v>46.328756499999997</v>
      </c>
      <c r="E23" s="18">
        <f t="shared" ref="E23:P23" si="8">SUBTOTAL(9,E9:E19)</f>
        <v>581.59740399999998</v>
      </c>
      <c r="F23" s="18">
        <f t="shared" si="8"/>
        <v>561.81990399999995</v>
      </c>
      <c r="G23" s="18">
        <f t="shared" si="8"/>
        <v>555.95950400000004</v>
      </c>
      <c r="H23" s="18">
        <f t="shared" si="8"/>
        <v>557.92640399999993</v>
      </c>
      <c r="I23" s="18">
        <f t="shared" si="8"/>
        <v>663.7505809999999</v>
      </c>
      <c r="J23" s="18">
        <f t="shared" si="8"/>
        <v>748.52835200000004</v>
      </c>
      <c r="K23" s="18">
        <f t="shared" si="8"/>
        <v>677.07068500000003</v>
      </c>
      <c r="L23" s="18">
        <f t="shared" si="8"/>
        <v>671.1240039999999</v>
      </c>
      <c r="M23" s="18">
        <f t="shared" si="8"/>
        <v>346.81590399999993</v>
      </c>
      <c r="N23" s="18">
        <f t="shared" si="8"/>
        <v>574.83190400000001</v>
      </c>
      <c r="O23" s="18">
        <f t="shared" si="8"/>
        <v>573.80950400000006</v>
      </c>
      <c r="P23" s="19">
        <f t="shared" si="8"/>
        <v>577.58430399999997</v>
      </c>
      <c r="Q23" s="41">
        <f>SUM(Q9:Q22)</f>
        <v>782.71489778333319</v>
      </c>
      <c r="R23" s="46">
        <f>SUM(E23:P23)</f>
        <v>7090.8184539999993</v>
      </c>
    </row>
    <row r="24" spans="1:18" outlineLevel="2">
      <c r="A24" s="105" t="s">
        <v>31</v>
      </c>
      <c r="B24" s="73">
        <v>62910164</v>
      </c>
      <c r="C24" s="9" t="s">
        <v>1</v>
      </c>
      <c r="D24" s="10">
        <f>'Control Consumo R - 2018'!Q24</f>
        <v>55.330891666666652</v>
      </c>
      <c r="E24" s="10">
        <v>51.146504</v>
      </c>
      <c r="F24" s="10">
        <v>51.200504000000002</v>
      </c>
      <c r="G24" s="10">
        <v>51.327804</v>
      </c>
      <c r="H24" s="10">
        <v>50.989204000000001</v>
      </c>
      <c r="I24" s="10">
        <v>50.989204000000001</v>
      </c>
      <c r="J24" s="10">
        <v>51.259703999999999</v>
      </c>
      <c r="K24" s="10">
        <v>50.989204000000001</v>
      </c>
      <c r="L24" s="10">
        <v>50.989204000000001</v>
      </c>
      <c r="M24" s="10">
        <v>50.989204000000001</v>
      </c>
      <c r="N24" s="10">
        <v>50.989204000000001</v>
      </c>
      <c r="O24" s="10">
        <v>50.989204000000001</v>
      </c>
      <c r="P24" s="10">
        <v>51.158904</v>
      </c>
      <c r="Q24" s="45">
        <f t="shared" si="0"/>
        <v>51.084820666666651</v>
      </c>
      <c r="R24" s="36">
        <f t="shared" si="1"/>
        <v>613.01784799999984</v>
      </c>
    </row>
    <row r="25" spans="1:18" outlineLevel="2">
      <c r="A25" s="106"/>
      <c r="B25" s="72">
        <v>62910163</v>
      </c>
      <c r="C25" s="12" t="s">
        <v>2</v>
      </c>
      <c r="D25" s="13">
        <f>'Control Consumo R - 2018'!Q25</f>
        <v>68.259588333333326</v>
      </c>
      <c r="E25" s="13">
        <v>58.733110000000011</v>
      </c>
      <c r="F25" s="13">
        <v>58.000010000000003</v>
      </c>
      <c r="G25" s="13">
        <v>58.000010000000003</v>
      </c>
      <c r="H25" s="13">
        <v>59.008409999999998</v>
      </c>
      <c r="I25" s="13">
        <v>58.134510000000006</v>
      </c>
      <c r="J25" s="13">
        <v>58.000010000000003</v>
      </c>
      <c r="K25" s="13">
        <v>58.000010000000003</v>
      </c>
      <c r="L25" s="13">
        <v>58.415509999999998</v>
      </c>
      <c r="M25" s="13">
        <v>63.000010000000003</v>
      </c>
      <c r="N25" s="13">
        <v>63.200810000000004</v>
      </c>
      <c r="O25" s="13">
        <v>63.329210000000003</v>
      </c>
      <c r="P25" s="14">
        <v>66.684010000000001</v>
      </c>
      <c r="Q25" s="39">
        <f t="shared" si="0"/>
        <v>60.20880166666668</v>
      </c>
      <c r="R25" s="40">
        <f t="shared" si="1"/>
        <v>722.50562000000014</v>
      </c>
    </row>
    <row r="26" spans="1:18" outlineLevel="2">
      <c r="A26" s="106"/>
      <c r="B26" s="72">
        <v>62910165</v>
      </c>
      <c r="C26" s="12" t="s">
        <v>3</v>
      </c>
      <c r="D26" s="13">
        <f>'Control Consumo R - 2018'!Q26</f>
        <v>62.913149999999995</v>
      </c>
      <c r="E26" s="13">
        <v>56.776204</v>
      </c>
      <c r="F26" s="13">
        <v>52.031204000000002</v>
      </c>
      <c r="G26" s="13">
        <v>48.565600000000003</v>
      </c>
      <c r="H26" s="13">
        <v>49.985599999999998</v>
      </c>
      <c r="I26" s="13">
        <v>51.911700000000003</v>
      </c>
      <c r="J26" s="13">
        <v>50.947600000000001</v>
      </c>
      <c r="K26" s="13">
        <v>52.617600000000003</v>
      </c>
      <c r="L26" s="13">
        <v>52.750600000000006</v>
      </c>
      <c r="M26" s="13">
        <v>55.695599999999999</v>
      </c>
      <c r="N26" s="13">
        <v>54.675600000000003</v>
      </c>
      <c r="O26" s="13">
        <v>51.821600000000004</v>
      </c>
      <c r="P26" s="14">
        <v>54.679100000000005</v>
      </c>
      <c r="Q26" s="39">
        <f t="shared" si="0"/>
        <v>52.704834000000005</v>
      </c>
      <c r="R26" s="40">
        <f t="shared" si="1"/>
        <v>632.45800800000006</v>
      </c>
    </row>
    <row r="27" spans="1:18" outlineLevel="2">
      <c r="A27" s="106"/>
      <c r="B27" s="72">
        <v>62910169</v>
      </c>
      <c r="C27" s="12" t="s">
        <v>4</v>
      </c>
      <c r="D27" s="13">
        <f>'Control Consumo R - 2018'!Q27</f>
        <v>57.172666666666679</v>
      </c>
      <c r="E27" s="13">
        <v>50.989204000000001</v>
      </c>
      <c r="F27" s="13">
        <v>50.989204000000001</v>
      </c>
      <c r="G27" s="13">
        <v>47.999600000000001</v>
      </c>
      <c r="H27" s="13">
        <v>50.066400000000002</v>
      </c>
      <c r="I27" s="13">
        <v>49.999600000000001</v>
      </c>
      <c r="J27" s="94">
        <v>50.131799999999998</v>
      </c>
      <c r="K27" s="13">
        <v>50.476900000000001</v>
      </c>
      <c r="L27" s="13">
        <v>49.999600000000001</v>
      </c>
      <c r="M27" s="13">
        <v>50.068200000000004</v>
      </c>
      <c r="N27" s="13">
        <v>50.134500000000003</v>
      </c>
      <c r="O27" s="13">
        <v>50.033900000000003</v>
      </c>
      <c r="P27" s="14">
        <v>50.372900000000001</v>
      </c>
      <c r="Q27" s="39">
        <f t="shared" si="0"/>
        <v>50.105150666666653</v>
      </c>
      <c r="R27" s="40">
        <f t="shared" si="1"/>
        <v>601.26180799999986</v>
      </c>
    </row>
    <row r="28" spans="1:18" outlineLevel="2">
      <c r="A28" s="106"/>
      <c r="B28" s="72">
        <v>62910170</v>
      </c>
      <c r="C28" s="12" t="s">
        <v>5</v>
      </c>
      <c r="D28" s="13">
        <f>'Control Consumo R - 2018'!Q28</f>
        <v>58.754191666666678</v>
      </c>
      <c r="E28" s="13">
        <v>51.345804000000001</v>
      </c>
      <c r="F28" s="13">
        <v>50.198404000000004</v>
      </c>
      <c r="G28" s="13">
        <v>47.6556</v>
      </c>
      <c r="H28" s="13">
        <v>49.635600000000004</v>
      </c>
      <c r="I28" s="13">
        <v>55.205120000000001</v>
      </c>
      <c r="J28" s="13">
        <v>49.293599999999998</v>
      </c>
      <c r="K28" s="13">
        <v>49.677600000000005</v>
      </c>
      <c r="L28" s="13">
        <v>49.735599999999998</v>
      </c>
      <c r="M28" s="13">
        <v>49.203600000000002</v>
      </c>
      <c r="N28" s="13">
        <v>49.209600000000002</v>
      </c>
      <c r="O28" s="13">
        <v>49.948399999999999</v>
      </c>
      <c r="P28" s="14">
        <v>49.649600000000007</v>
      </c>
      <c r="Q28" s="39">
        <f t="shared" si="0"/>
        <v>50.063210666666663</v>
      </c>
      <c r="R28" s="40">
        <f t="shared" si="1"/>
        <v>600.75852799999996</v>
      </c>
    </row>
    <row r="29" spans="1:18" outlineLevel="2">
      <c r="A29" s="106"/>
      <c r="B29" s="72">
        <v>62910178</v>
      </c>
      <c r="C29" s="12" t="s">
        <v>6</v>
      </c>
      <c r="D29" s="13">
        <f>'Control Consumo R - 2018'!Q29</f>
        <v>60.205958333333321</v>
      </c>
      <c r="E29" s="13">
        <v>55.452503999999998</v>
      </c>
      <c r="F29" s="13">
        <v>51.287204000000003</v>
      </c>
      <c r="G29" s="13">
        <v>52.091200000000008</v>
      </c>
      <c r="H29" s="13">
        <v>53.196899999999999</v>
      </c>
      <c r="I29" s="13">
        <v>50.677600000000005</v>
      </c>
      <c r="J29" s="13">
        <v>52.317599999999992</v>
      </c>
      <c r="K29" s="13">
        <v>57.137599999999999</v>
      </c>
      <c r="L29" s="13">
        <v>59.929600000000001</v>
      </c>
      <c r="M29" s="13">
        <v>55.220599999999997</v>
      </c>
      <c r="N29" s="13">
        <v>52.979599999999998</v>
      </c>
      <c r="O29" s="13">
        <v>54.937599999999996</v>
      </c>
      <c r="P29" s="14">
        <v>58.71159999999999</v>
      </c>
      <c r="Q29" s="39">
        <f t="shared" si="0"/>
        <v>54.494967333333328</v>
      </c>
      <c r="R29" s="40">
        <f t="shared" si="1"/>
        <v>653.93960799999991</v>
      </c>
    </row>
    <row r="30" spans="1:18" outlineLevel="2">
      <c r="A30" s="106"/>
      <c r="B30" s="72">
        <v>62910179</v>
      </c>
      <c r="C30" s="12" t="s">
        <v>7</v>
      </c>
      <c r="D30" s="13">
        <f>'Control Consumo R - 2018'!Q30</f>
        <v>58.169025000000005</v>
      </c>
      <c r="E30" s="13">
        <v>50.763204000000002</v>
      </c>
      <c r="F30" s="13">
        <v>50.281204000000002</v>
      </c>
      <c r="G30" s="13">
        <v>49.361699999999999</v>
      </c>
      <c r="H30" s="13">
        <v>49.403599999999997</v>
      </c>
      <c r="I30" s="13">
        <v>50.177599999999998</v>
      </c>
      <c r="J30" s="13">
        <v>52.105599999999995</v>
      </c>
      <c r="K30" s="13">
        <v>51.233600000000003</v>
      </c>
      <c r="L30" s="13">
        <v>50.043599999999998</v>
      </c>
      <c r="M30" s="13">
        <v>49.865600000000001</v>
      </c>
      <c r="N30" s="13">
        <v>51.433599999999998</v>
      </c>
      <c r="O30" s="13">
        <v>53.135600000000004</v>
      </c>
      <c r="P30" s="14">
        <v>57.241599999999998</v>
      </c>
      <c r="Q30" s="39">
        <f t="shared" si="0"/>
        <v>51.253875666666659</v>
      </c>
      <c r="R30" s="40">
        <f t="shared" si="1"/>
        <v>615.0465079999999</v>
      </c>
    </row>
    <row r="31" spans="1:18" outlineLevel="2">
      <c r="A31" s="106"/>
      <c r="B31" s="72">
        <v>62910232</v>
      </c>
      <c r="C31" s="12" t="s">
        <v>8</v>
      </c>
      <c r="D31" s="13">
        <f>'Control Consumo R - 2018'!Q31</f>
        <v>57.354216666666666</v>
      </c>
      <c r="E31" s="13">
        <v>49.280504000000001</v>
      </c>
      <c r="F31" s="13">
        <v>48.989204000000001</v>
      </c>
      <c r="G31" s="13">
        <v>45.999600000000001</v>
      </c>
      <c r="H31" s="13">
        <v>48.472899999999996</v>
      </c>
      <c r="I31" s="13">
        <v>48.033900000000003</v>
      </c>
      <c r="J31" s="13">
        <v>48.160899999999998</v>
      </c>
      <c r="K31" s="13">
        <v>47.999600000000001</v>
      </c>
      <c r="L31" s="13">
        <v>48.326900000000002</v>
      </c>
      <c r="M31" s="13">
        <v>48.739000000000004</v>
      </c>
      <c r="N31" s="13">
        <v>47.999600000000001</v>
      </c>
      <c r="O31" s="13">
        <v>48.164000000000001</v>
      </c>
      <c r="P31" s="14">
        <v>48.510800000000003</v>
      </c>
      <c r="Q31" s="39">
        <f t="shared" si="0"/>
        <v>48.223075666666666</v>
      </c>
      <c r="R31" s="40">
        <f t="shared" si="1"/>
        <v>578.67690800000003</v>
      </c>
    </row>
    <row r="32" spans="1:18" outlineLevel="2">
      <c r="A32" s="106"/>
      <c r="B32" s="72">
        <v>62910233</v>
      </c>
      <c r="C32" s="12" t="s">
        <v>9</v>
      </c>
      <c r="D32" s="13">
        <f>'Control Consumo R - 2018'!Q32</f>
        <v>57.166508333333333</v>
      </c>
      <c r="E32" s="13">
        <v>49.245903999999996</v>
      </c>
      <c r="F32" s="13">
        <v>48.989204000000001</v>
      </c>
      <c r="G32" s="13">
        <v>46.3354</v>
      </c>
      <c r="H32" s="13">
        <v>49.970799999999997</v>
      </c>
      <c r="I32" s="13">
        <v>47.999600000000001</v>
      </c>
      <c r="J32" s="13">
        <v>47.999600000000001</v>
      </c>
      <c r="K32" s="13">
        <v>48.136899999999997</v>
      </c>
      <c r="L32" s="13">
        <v>48.592399999999998</v>
      </c>
      <c r="M32" s="13">
        <v>47.999600000000001</v>
      </c>
      <c r="N32" s="13">
        <v>48.0336</v>
      </c>
      <c r="O32" s="13">
        <v>48.1738</v>
      </c>
      <c r="P32" s="14">
        <v>48.232500000000002</v>
      </c>
      <c r="Q32" s="39">
        <f t="shared" si="0"/>
        <v>48.309108999999999</v>
      </c>
      <c r="R32" s="40">
        <f t="shared" si="1"/>
        <v>579.70930799999996</v>
      </c>
    </row>
    <row r="33" spans="1:19" outlineLevel="2">
      <c r="A33" s="106"/>
      <c r="B33" s="72">
        <v>62910119</v>
      </c>
      <c r="C33" s="12" t="s">
        <v>10</v>
      </c>
      <c r="D33" s="13">
        <f>'Control Consumo R - 2018'!Q33</f>
        <v>58.70741666666666</v>
      </c>
      <c r="E33" s="13">
        <v>49.711204000000002</v>
      </c>
      <c r="F33" s="13">
        <v>49.155203999999998</v>
      </c>
      <c r="G33" s="13">
        <v>49.435203999999999</v>
      </c>
      <c r="H33" s="13">
        <v>49.157204</v>
      </c>
      <c r="I33" s="13">
        <v>49.477004000000008</v>
      </c>
      <c r="J33" s="13">
        <v>50.163204000000007</v>
      </c>
      <c r="K33" s="13">
        <v>54.613204000000003</v>
      </c>
      <c r="L33" s="13">
        <v>50.451204000000004</v>
      </c>
      <c r="M33" s="13">
        <v>49.127203999999999</v>
      </c>
      <c r="N33" s="13">
        <v>49.143903999999999</v>
      </c>
      <c r="O33" s="13">
        <v>48.995204000000001</v>
      </c>
      <c r="P33" s="14">
        <v>49.599704000000003</v>
      </c>
      <c r="Q33" s="39">
        <f t="shared" si="0"/>
        <v>49.919120666666664</v>
      </c>
      <c r="R33" s="40">
        <f t="shared" si="1"/>
        <v>599.029448</v>
      </c>
    </row>
    <row r="34" spans="1:19" outlineLevel="2">
      <c r="A34" s="106"/>
      <c r="B34" s="72">
        <v>62910235</v>
      </c>
      <c r="C34" s="12" t="s">
        <v>37</v>
      </c>
      <c r="D34" s="13">
        <f>'Control Consumo R - 2018'!Q34</f>
        <v>58.678926666666662</v>
      </c>
      <c r="E34" s="13">
        <v>52.952883999999997</v>
      </c>
      <c r="F34" s="13">
        <v>51.155004000000005</v>
      </c>
      <c r="G34" s="13">
        <v>48.168199999999999</v>
      </c>
      <c r="H34" s="13">
        <v>52.845579999999998</v>
      </c>
      <c r="I34" s="13">
        <v>51.490800000000007</v>
      </c>
      <c r="J34" s="13">
        <v>55.440919999999998</v>
      </c>
      <c r="K34" s="13">
        <v>49.999600000000001</v>
      </c>
      <c r="L34" s="13">
        <v>50.799520000000001</v>
      </c>
      <c r="M34" s="13">
        <v>54.665800000000004</v>
      </c>
      <c r="N34" s="13">
        <v>54.483840000000001</v>
      </c>
      <c r="O34" s="13">
        <v>50.666200000000003</v>
      </c>
      <c r="P34" s="14">
        <v>50.666200000000003</v>
      </c>
      <c r="Q34" s="39">
        <f t="shared" si="0"/>
        <v>51.94454566666667</v>
      </c>
      <c r="R34" s="40">
        <f t="shared" si="1"/>
        <v>623.33454800000004</v>
      </c>
    </row>
    <row r="35" spans="1:19" outlineLevel="2">
      <c r="A35" s="106"/>
      <c r="B35" s="72">
        <v>62910340</v>
      </c>
      <c r="C35" s="12" t="s">
        <v>44</v>
      </c>
      <c r="D35" s="13">
        <f>'Control Consumo R - 2018'!Q35</f>
        <v>51.378208333333326</v>
      </c>
      <c r="E35" s="13">
        <v>39.001799999999996</v>
      </c>
      <c r="F35" s="13">
        <v>39.001799999999996</v>
      </c>
      <c r="G35" s="13">
        <v>39.001799999999996</v>
      </c>
      <c r="H35" s="13">
        <v>22.559600000000007</v>
      </c>
      <c r="I35" s="13">
        <v>64.0261</v>
      </c>
      <c r="J35" s="13">
        <v>64.656599999999997</v>
      </c>
      <c r="K35" s="13">
        <v>-11.68</v>
      </c>
      <c r="L35" s="13">
        <v>37.5</v>
      </c>
      <c r="M35" s="13">
        <v>38.311100000000003</v>
      </c>
      <c r="N35" s="13">
        <v>42.025999999999996</v>
      </c>
      <c r="O35" s="13">
        <v>38.867199999999997</v>
      </c>
      <c r="P35" s="14">
        <v>38.681180999999995</v>
      </c>
      <c r="Q35" s="39">
        <f t="shared" si="0"/>
        <v>37.662765083333333</v>
      </c>
      <c r="R35" s="40">
        <f t="shared" si="1"/>
        <v>451.95318100000003</v>
      </c>
    </row>
    <row r="36" spans="1:19" outlineLevel="2">
      <c r="A36" s="106"/>
      <c r="B36" s="75">
        <v>62910238</v>
      </c>
      <c r="C36" s="3" t="s">
        <v>48</v>
      </c>
      <c r="D36" s="13">
        <f>'Control Consumo R - 2018'!Q36</f>
        <v>57.836800000000004</v>
      </c>
      <c r="E36" s="76">
        <v>52.615200000000002</v>
      </c>
      <c r="F36" s="76">
        <v>53.227200000000003</v>
      </c>
      <c r="G36" s="76">
        <v>56.887900000000002</v>
      </c>
      <c r="H36" s="76">
        <v>54.168999999999997</v>
      </c>
      <c r="I36" s="76">
        <v>54.974500000000006</v>
      </c>
      <c r="J36" s="76">
        <v>55.2592</v>
      </c>
      <c r="K36" s="76">
        <v>54.847900000000003</v>
      </c>
      <c r="L36" s="76">
        <v>55.047200000000004</v>
      </c>
      <c r="M36" s="13">
        <v>57.239200000000004</v>
      </c>
      <c r="N36" s="76">
        <v>61.5015</v>
      </c>
      <c r="O36" s="76">
        <v>62.4512</v>
      </c>
      <c r="P36" s="77">
        <v>86.112200000000001</v>
      </c>
      <c r="Q36" s="39">
        <f t="shared" si="0"/>
        <v>58.694349999999993</v>
      </c>
      <c r="R36" s="40">
        <f t="shared" si="1"/>
        <v>704.33219999999994</v>
      </c>
    </row>
    <row r="37" spans="1:19" outlineLevel="2">
      <c r="A37" s="106"/>
      <c r="B37" s="75">
        <v>62910342</v>
      </c>
      <c r="C37" s="3" t="s">
        <v>51</v>
      </c>
      <c r="D37" s="13">
        <f>'Control Consumo R - 2018'!Q37</f>
        <v>71.488033333333334</v>
      </c>
      <c r="E37" s="76">
        <v>71.258004</v>
      </c>
      <c r="F37" s="76">
        <v>70.990003999999999</v>
      </c>
      <c r="G37" s="76">
        <v>71.161404000000005</v>
      </c>
      <c r="H37" s="76">
        <v>70.990003999999999</v>
      </c>
      <c r="I37" s="76">
        <v>70.990003999999999</v>
      </c>
      <c r="J37" s="76">
        <v>70.990003999999999</v>
      </c>
      <c r="K37" s="76">
        <v>71.550803999999999</v>
      </c>
      <c r="L37" s="76">
        <v>70.990003999999999</v>
      </c>
      <c r="M37" s="76">
        <v>128.990004</v>
      </c>
      <c r="N37" s="76">
        <v>102.990004</v>
      </c>
      <c r="O37" s="76">
        <v>103.287504</v>
      </c>
      <c r="P37" s="77">
        <v>93.796456000000006</v>
      </c>
      <c r="Q37" s="39">
        <f t="shared" ref="Q37:Q41" si="9">AVERAGE(E37:P37)</f>
        <v>83.165350000000004</v>
      </c>
      <c r="R37" s="40">
        <f t="shared" ref="R37:R41" si="10">SUM(E37:P37)</f>
        <v>997.98419999999999</v>
      </c>
    </row>
    <row r="38" spans="1:19" outlineLevel="2">
      <c r="A38" s="106"/>
      <c r="B38" s="75">
        <v>62910344</v>
      </c>
      <c r="C38" s="3" t="s">
        <v>56</v>
      </c>
      <c r="D38" s="13">
        <f>'Control Consumo R - 2018'!Q38</f>
        <v>73.219241666666662</v>
      </c>
      <c r="E38" s="76">
        <v>72.628999999999991</v>
      </c>
      <c r="F38" s="76">
        <v>72</v>
      </c>
      <c r="G38" s="76">
        <v>72</v>
      </c>
      <c r="H38" s="76">
        <v>72</v>
      </c>
      <c r="I38" s="76">
        <v>72</v>
      </c>
      <c r="J38" s="76">
        <v>120.24006700000001</v>
      </c>
      <c r="K38" s="76">
        <v>30.689999999999998</v>
      </c>
      <c r="L38" s="76">
        <v>72</v>
      </c>
      <c r="M38" s="76">
        <v>72</v>
      </c>
      <c r="N38" s="76">
        <v>72</v>
      </c>
      <c r="O38" s="76">
        <v>72</v>
      </c>
      <c r="P38" s="77">
        <v>72.234499999999997</v>
      </c>
      <c r="Q38" s="39">
        <f t="shared" si="9"/>
        <v>72.649463916666676</v>
      </c>
      <c r="R38" s="40">
        <f t="shared" si="10"/>
        <v>871.79356700000005</v>
      </c>
    </row>
    <row r="39" spans="1:19" outlineLevel="2">
      <c r="A39" s="106"/>
      <c r="B39" s="75"/>
      <c r="C39" s="3" t="s">
        <v>62</v>
      </c>
      <c r="D39" s="13">
        <f>'Control Consumo R - 2018'!Q39</f>
        <v>57.281691666666653</v>
      </c>
      <c r="E39" s="76">
        <v>46.801200000000001</v>
      </c>
      <c r="F39" s="76">
        <v>47.020200000000003</v>
      </c>
      <c r="G39" s="76">
        <v>44.499200000000002</v>
      </c>
      <c r="H39" s="76">
        <v>46.697900000000004</v>
      </c>
      <c r="I39" s="76">
        <v>46.878599999999999</v>
      </c>
      <c r="J39" s="76">
        <v>46.499200000000002</v>
      </c>
      <c r="K39" s="76">
        <v>46.499200000000002</v>
      </c>
      <c r="L39" s="76">
        <v>46.499200000000002</v>
      </c>
      <c r="M39" s="76">
        <v>46.663600000000002</v>
      </c>
      <c r="N39" s="76">
        <v>46.499200000000002</v>
      </c>
      <c r="O39" s="76">
        <v>46.499200000000002</v>
      </c>
      <c r="P39" s="77">
        <v>47.041200000000003</v>
      </c>
      <c r="Q39" s="39">
        <f t="shared" si="9"/>
        <v>46.50815833333332</v>
      </c>
      <c r="R39" s="40">
        <f t="shared" si="10"/>
        <v>558.09789999999987</v>
      </c>
    </row>
    <row r="40" spans="1:19" outlineLevel="2">
      <c r="A40" s="106"/>
      <c r="B40" s="75"/>
      <c r="C40" s="3" t="s">
        <v>63</v>
      </c>
      <c r="D40" s="13">
        <f>'Control Consumo R - 2018'!Q40</f>
        <v>59.611333333333334</v>
      </c>
      <c r="E40" s="76">
        <v>48.621700000000004</v>
      </c>
      <c r="F40" s="76">
        <v>48.500399999999999</v>
      </c>
      <c r="G40" s="76">
        <v>46.500399999999999</v>
      </c>
      <c r="H40" s="76">
        <v>48.526399999999995</v>
      </c>
      <c r="I40" s="76">
        <v>48.988199999999999</v>
      </c>
      <c r="J40" s="76">
        <v>48.788699999999999</v>
      </c>
      <c r="K40" s="76">
        <v>48.962499999999999</v>
      </c>
      <c r="L40" s="76">
        <v>48.938000000000002</v>
      </c>
      <c r="M40" s="76">
        <v>48.500399999999999</v>
      </c>
      <c r="N40" s="76">
        <v>48.647099999999995</v>
      </c>
      <c r="O40" s="76">
        <v>48.615099999999998</v>
      </c>
      <c r="P40" s="77">
        <v>48.674799999999998</v>
      </c>
      <c r="Q40" s="39">
        <f t="shared" si="9"/>
        <v>48.521974999999998</v>
      </c>
      <c r="R40" s="40">
        <f t="shared" si="10"/>
        <v>582.26369999999997</v>
      </c>
    </row>
    <row r="41" spans="1:19" outlineLevel="2">
      <c r="A41" s="107"/>
      <c r="B41" s="75"/>
      <c r="C41" s="3" t="s">
        <v>64</v>
      </c>
      <c r="D41" s="76">
        <f>'Control Consumo R - 2018'!Q41</f>
        <v>99.687746749999988</v>
      </c>
      <c r="E41" s="76">
        <v>97.043104</v>
      </c>
      <c r="F41" s="76">
        <v>96.365003999999999</v>
      </c>
      <c r="G41" s="76">
        <v>99.057304000000016</v>
      </c>
      <c r="H41" s="76">
        <v>98.516003999999995</v>
      </c>
      <c r="I41" s="76">
        <v>99.790103999999999</v>
      </c>
      <c r="J41" s="76">
        <v>98.768004000000005</v>
      </c>
      <c r="K41" s="76">
        <v>106.41410399999999</v>
      </c>
      <c r="L41" s="76">
        <v>99.596503999999996</v>
      </c>
      <c r="M41" s="76">
        <v>99.49400399999999</v>
      </c>
      <c r="N41" s="76">
        <v>98.761203999999992</v>
      </c>
      <c r="O41" s="76">
        <v>98.533503999999994</v>
      </c>
      <c r="P41" s="77">
        <v>99.329803999999996</v>
      </c>
      <c r="Q41" s="39">
        <f t="shared" si="9"/>
        <v>99.305720666666659</v>
      </c>
      <c r="R41" s="40">
        <f t="shared" si="10"/>
        <v>1191.6686479999998</v>
      </c>
    </row>
    <row r="42" spans="1:19" ht="15" outlineLevel="2" thickBot="1">
      <c r="A42" s="22" t="s">
        <v>32</v>
      </c>
      <c r="B42" s="68"/>
      <c r="C42" s="17"/>
      <c r="D42" s="18">
        <f>SUBTOTAL(9,D24:D41)</f>
        <v>1123.2155950833335</v>
      </c>
      <c r="E42" s="18">
        <f t="shared" ref="E42:P42" si="11">SUBTOTAL(9,E24:E41)</f>
        <v>1004.3670380000001</v>
      </c>
      <c r="F42" s="18">
        <f t="shared" si="11"/>
        <v>989.38095800000008</v>
      </c>
      <c r="G42" s="18">
        <f t="shared" si="11"/>
        <v>974.04792599999996</v>
      </c>
      <c r="H42" s="18">
        <f t="shared" si="11"/>
        <v>976.19110599999988</v>
      </c>
      <c r="I42" s="18">
        <f t="shared" si="11"/>
        <v>1021.7441460000001</v>
      </c>
      <c r="J42" s="18">
        <f t="shared" si="11"/>
        <v>1071.0223129999997</v>
      </c>
      <c r="K42" s="18">
        <f t="shared" si="11"/>
        <v>918.16632599999991</v>
      </c>
      <c r="L42" s="18">
        <f t="shared" si="11"/>
        <v>1000.6046459999999</v>
      </c>
      <c r="M42" s="18">
        <f t="shared" si="11"/>
        <v>1065.7727259999999</v>
      </c>
      <c r="N42" s="18">
        <f t="shared" si="11"/>
        <v>1044.7088659999999</v>
      </c>
      <c r="O42" s="18">
        <f t="shared" si="11"/>
        <v>1040.4484259999999</v>
      </c>
      <c r="P42" s="18">
        <f t="shared" si="11"/>
        <v>1071.3770590000001</v>
      </c>
      <c r="Q42" s="41">
        <f>SUM(Q24:Q41)</f>
        <v>1014.8192946666665</v>
      </c>
      <c r="R42" s="46">
        <f t="shared" si="1"/>
        <v>12177.831536</v>
      </c>
      <c r="S42" s="93"/>
    </row>
    <row r="43" spans="1:19" outlineLevel="1">
      <c r="A43" s="103" t="s">
        <v>18</v>
      </c>
      <c r="B43" s="64">
        <v>62910182</v>
      </c>
      <c r="C43" s="12" t="s">
        <v>19</v>
      </c>
      <c r="D43" s="13">
        <f>'Control Consumo R - 2018'!Q43</f>
        <v>43.945336833333329</v>
      </c>
      <c r="E43" s="13">
        <v>45.568300000000001</v>
      </c>
      <c r="F43" s="13">
        <v>41.32</v>
      </c>
      <c r="G43" s="13">
        <v>41.32</v>
      </c>
      <c r="H43" s="13">
        <v>42.146500000000003</v>
      </c>
      <c r="I43" s="13">
        <v>44.792400000000001</v>
      </c>
      <c r="J43" s="13">
        <v>42.146500000000003</v>
      </c>
      <c r="K43" s="13">
        <v>42.146500000000003</v>
      </c>
      <c r="L43" s="13">
        <v>42.146500000000003</v>
      </c>
      <c r="M43" s="13">
        <v>43.239612999999999</v>
      </c>
      <c r="N43" s="13">
        <v>42.972999999999999</v>
      </c>
      <c r="O43" s="13">
        <v>42.972999999999999</v>
      </c>
      <c r="P43" s="14">
        <v>42.972999999999999</v>
      </c>
      <c r="Q43" s="39">
        <f t="shared" si="0"/>
        <v>42.812109416666665</v>
      </c>
      <c r="R43" s="40">
        <f t="shared" si="1"/>
        <v>513.74531300000001</v>
      </c>
    </row>
    <row r="44" spans="1:19" outlineLevel="2">
      <c r="A44" s="104"/>
      <c r="B44" s="67">
        <v>62910182</v>
      </c>
      <c r="C44" s="12" t="s">
        <v>20</v>
      </c>
      <c r="D44" s="13">
        <f>'Control Consumo R - 2018'!Q44</f>
        <v>42.146000000000001</v>
      </c>
      <c r="E44" s="13">
        <v>35.5852</v>
      </c>
      <c r="F44" s="13">
        <v>37.337199999999996</v>
      </c>
      <c r="G44" s="13">
        <v>36.279200000000003</v>
      </c>
      <c r="H44" s="13">
        <v>35.991199999999999</v>
      </c>
      <c r="I44" s="13">
        <v>35.9512</v>
      </c>
      <c r="J44" s="13">
        <v>37.311199999999999</v>
      </c>
      <c r="K44" s="13">
        <v>35.785200000000003</v>
      </c>
      <c r="L44" s="13">
        <v>34.999200000000002</v>
      </c>
      <c r="M44" s="13">
        <v>36.007199999999997</v>
      </c>
      <c r="N44" s="13">
        <v>35.699200000000005</v>
      </c>
      <c r="O44" s="13">
        <v>35.853200000000001</v>
      </c>
      <c r="P44" s="14">
        <v>36.353200000000001</v>
      </c>
      <c r="Q44" s="39">
        <f t="shared" si="0"/>
        <v>36.096033333333338</v>
      </c>
      <c r="R44" s="40">
        <f t="shared" si="1"/>
        <v>433.15240000000006</v>
      </c>
    </row>
    <row r="45" spans="1:19" outlineLevel="2">
      <c r="A45" s="104"/>
      <c r="B45" s="67"/>
      <c r="C45" s="12" t="s">
        <v>55</v>
      </c>
      <c r="D45" s="13">
        <f>'Control Consumo R - 2018'!Q45</f>
        <v>39.46072925</v>
      </c>
      <c r="E45" s="13">
        <v>48.643065</v>
      </c>
      <c r="F45" s="13">
        <v>67.481999999999999</v>
      </c>
      <c r="G45" s="13">
        <v>66.12</v>
      </c>
      <c r="H45" s="13">
        <v>66.939491000000004</v>
      </c>
      <c r="I45" s="13">
        <v>66.941199999999995</v>
      </c>
      <c r="J45" s="13">
        <v>66.941199999999995</v>
      </c>
      <c r="K45" s="13">
        <v>66.941199999999995</v>
      </c>
      <c r="L45" s="13">
        <v>67.474394000000004</v>
      </c>
      <c r="M45" s="13">
        <v>70.780326000000002</v>
      </c>
      <c r="N45" s="13">
        <f>4.532072+35.590645</f>
        <v>40.122717000000002</v>
      </c>
      <c r="O45" s="13">
        <v>47.97</v>
      </c>
      <c r="P45" s="14">
        <v>47.97</v>
      </c>
      <c r="Q45" s="39">
        <f t="shared" si="0"/>
        <v>60.360466083333336</v>
      </c>
      <c r="R45" s="40">
        <f t="shared" si="1"/>
        <v>724.32559300000003</v>
      </c>
    </row>
    <row r="46" spans="1:19" outlineLevel="2">
      <c r="A46" s="104"/>
      <c r="B46" s="67">
        <v>62910182</v>
      </c>
      <c r="C46" s="12" t="s">
        <v>38</v>
      </c>
      <c r="D46" s="13">
        <f>'Control Consumo R - 2018'!Q46</f>
        <v>41.038150000000002</v>
      </c>
      <c r="E46" s="13">
        <v>34.999200000000002</v>
      </c>
      <c r="F46" s="13">
        <v>34.999200000000002</v>
      </c>
      <c r="G46" s="13">
        <v>34.999200000000002</v>
      </c>
      <c r="H46" s="13">
        <v>34.999200000000002</v>
      </c>
      <c r="I46" s="13">
        <v>35.255200000000002</v>
      </c>
      <c r="J46" s="13">
        <f>70.616/2</f>
        <v>35.308</v>
      </c>
      <c r="K46" s="13">
        <v>34.999000000000002</v>
      </c>
      <c r="L46" s="13">
        <v>35</v>
      </c>
      <c r="M46" s="13">
        <v>32.99</v>
      </c>
      <c r="N46" s="13">
        <v>31.01</v>
      </c>
      <c r="O46" s="13">
        <f>74.7156-O47</f>
        <v>36.715599999999995</v>
      </c>
      <c r="P46" s="14">
        <v>37.99</v>
      </c>
      <c r="Q46" s="39">
        <f t="shared" si="0"/>
        <v>34.938716666666664</v>
      </c>
      <c r="R46" s="40">
        <f t="shared" si="1"/>
        <v>419.26459999999997</v>
      </c>
    </row>
    <row r="47" spans="1:19" outlineLevel="2">
      <c r="A47" s="104"/>
      <c r="B47" s="67">
        <v>62910182</v>
      </c>
      <c r="C47" s="12" t="s">
        <v>39</v>
      </c>
      <c r="D47" s="13">
        <f>'Control Consumo R - 2018'!Q47</f>
        <v>43.048724999999997</v>
      </c>
      <c r="E47" s="13">
        <v>43</v>
      </c>
      <c r="F47" s="13">
        <v>43</v>
      </c>
      <c r="G47" s="13">
        <v>19.000399999999999</v>
      </c>
      <c r="H47" s="13">
        <v>35.000399999999999</v>
      </c>
      <c r="I47" s="13">
        <v>35.000399999999999</v>
      </c>
      <c r="J47" s="13">
        <f>70.6169-J46</f>
        <v>35.308900000000001</v>
      </c>
      <c r="K47" s="13">
        <v>35</v>
      </c>
      <c r="L47" s="13">
        <v>37.989999999999995</v>
      </c>
      <c r="M47" s="13">
        <f>72.99-32.99</f>
        <v>39.999999999999993</v>
      </c>
      <c r="N47" s="13">
        <v>42.99</v>
      </c>
      <c r="O47" s="13">
        <v>38</v>
      </c>
      <c r="P47" s="14">
        <v>35</v>
      </c>
      <c r="Q47" s="39">
        <f t="shared" si="0"/>
        <v>36.607508333333335</v>
      </c>
      <c r="R47" s="40">
        <f t="shared" si="1"/>
        <v>439.2901</v>
      </c>
    </row>
    <row r="48" spans="1:19" outlineLevel="2">
      <c r="A48" s="96"/>
      <c r="B48" s="75"/>
      <c r="C48" s="3" t="s">
        <v>73</v>
      </c>
      <c r="D48" s="13">
        <v>0</v>
      </c>
      <c r="E48" s="76"/>
      <c r="F48" s="76"/>
      <c r="G48" s="76"/>
      <c r="H48" s="76"/>
      <c r="I48" s="76"/>
      <c r="J48" s="76">
        <v>0</v>
      </c>
      <c r="K48" s="76"/>
      <c r="L48" s="76">
        <v>11</v>
      </c>
      <c r="M48" s="76">
        <v>11</v>
      </c>
      <c r="N48" s="76">
        <v>11</v>
      </c>
      <c r="O48" s="76">
        <v>-1.5545200000000001</v>
      </c>
      <c r="P48" s="77"/>
      <c r="Q48" s="39">
        <f t="shared" si="0"/>
        <v>6.2890959999999998</v>
      </c>
      <c r="R48" s="40">
        <f t="shared" si="1"/>
        <v>31.44548</v>
      </c>
    </row>
    <row r="49" spans="1:18" ht="15" outlineLevel="2" thickBot="1">
      <c r="A49" s="22" t="s">
        <v>33</v>
      </c>
      <c r="B49" s="68"/>
      <c r="C49" s="17"/>
      <c r="D49" s="18">
        <f>'Control Consumo R - 2018'!D49</f>
        <v>219.52540350000001</v>
      </c>
      <c r="E49" s="18">
        <f>SUBTOTAL(9,E43:E47)</f>
        <v>207.79576500000002</v>
      </c>
      <c r="F49" s="18">
        <f>SUBTOTAL(9,F43:F47)</f>
        <v>224.13839999999999</v>
      </c>
      <c r="G49" s="18">
        <f>SUBTOTAL(9,G43:G47)</f>
        <v>197.71879999999999</v>
      </c>
      <c r="H49" s="18">
        <f>SUBTOTAL(9,H43:H47)</f>
        <v>215.07679100000001</v>
      </c>
      <c r="I49" s="18">
        <f>SUBTOTAL(9,I43:I47)</f>
        <v>217.94040000000001</v>
      </c>
      <c r="J49" s="18">
        <f>SUBTOTAL(9,J43:J48)</f>
        <v>217.01579999999998</v>
      </c>
      <c r="K49" s="18">
        <f>SUBTOTAL(9,K43:K48)</f>
        <v>214.87190000000001</v>
      </c>
      <c r="L49" s="18">
        <f t="shared" ref="L49:P49" si="12">SUBTOTAL(9,L43:L48)</f>
        <v>228.610094</v>
      </c>
      <c r="M49" s="18">
        <f t="shared" si="12"/>
        <v>234.01713900000001</v>
      </c>
      <c r="N49" s="18">
        <f t="shared" si="12"/>
        <v>203.794917</v>
      </c>
      <c r="O49" s="18">
        <f t="shared" si="12"/>
        <v>199.95728</v>
      </c>
      <c r="P49" s="18">
        <f t="shared" si="12"/>
        <v>200.28620000000001</v>
      </c>
      <c r="Q49" s="41">
        <f>SUM(Q43:Q48)</f>
        <v>217.10392983333332</v>
      </c>
      <c r="R49" s="46">
        <f>SUM(E49:P49)</f>
        <v>2561.2234860000003</v>
      </c>
    </row>
    <row r="50" spans="1:18" ht="15" outlineLevel="1" thickBot="1">
      <c r="A50" s="24"/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/>
      <c r="Q50" s="47"/>
      <c r="R50" s="48"/>
    </row>
    <row r="51" spans="1:18" ht="15" outlineLevel="1" thickBot="1">
      <c r="A51" s="28" t="s">
        <v>27</v>
      </c>
      <c r="B51" s="69"/>
      <c r="C51" s="29"/>
      <c r="D51" s="30">
        <f>'Control Consumo R - 2018'!Q51</f>
        <v>8555.202063499999</v>
      </c>
      <c r="E51" s="30">
        <f t="shared" ref="E51:J51" si="13">SUBTOTAL(9,E2:E47)</f>
        <v>5998.8411180000012</v>
      </c>
      <c r="F51" s="30">
        <f t="shared" si="13"/>
        <v>6061.0844810000008</v>
      </c>
      <c r="G51" s="30">
        <f t="shared" si="13"/>
        <v>6041.875700999999</v>
      </c>
      <c r="H51" s="30">
        <f t="shared" si="13"/>
        <v>6022.6010469999992</v>
      </c>
      <c r="I51" s="30">
        <f t="shared" si="13"/>
        <v>8582.6099999999988</v>
      </c>
      <c r="J51" s="30">
        <f t="shared" si="13"/>
        <v>6348.9840110000014</v>
      </c>
      <c r="K51" s="30">
        <f>SUBTOTAL(9,K2:K49)</f>
        <v>10923.865537000001</v>
      </c>
      <c r="L51" s="30">
        <f>SUBTOTAL(9,L2:L49)</f>
        <v>9362.3760920000022</v>
      </c>
      <c r="M51" s="30">
        <f t="shared" ref="M51:P51" si="14">SUBTOTAL(9,M2:M49)</f>
        <v>8625.7544259999995</v>
      </c>
      <c r="N51" s="30">
        <f t="shared" si="14"/>
        <v>8620.5944839999993</v>
      </c>
      <c r="O51" s="30">
        <f t="shared" si="14"/>
        <v>8503.6020219999991</v>
      </c>
      <c r="P51" s="30">
        <f t="shared" si="14"/>
        <v>9087.4251299999978</v>
      </c>
      <c r="Q51" s="43">
        <f>AVERAGE(E51:P51)</f>
        <v>7848.3011707500009</v>
      </c>
      <c r="R51" s="44">
        <f t="shared" si="1"/>
        <v>94179.614049000011</v>
      </c>
    </row>
    <row r="52" spans="1:18" ht="15" thickBot="1">
      <c r="A52" s="25"/>
      <c r="B52" s="25"/>
      <c r="C52" s="25"/>
      <c r="D52" s="25">
        <f>'Control Consumo R - 2018'!Q52</f>
        <v>0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32"/>
      <c r="Q52" s="47"/>
      <c r="R52" s="48"/>
    </row>
    <row r="53" spans="1:18" ht="15" thickBot="1">
      <c r="A53" s="33" t="s">
        <v>26</v>
      </c>
      <c r="B53" s="70"/>
      <c r="C53" s="29"/>
      <c r="D53" s="30">
        <f>'Control Consumo R - 2018'!Q53</f>
        <v>8546.1600000000017</v>
      </c>
      <c r="E53" s="30">
        <v>5998.84</v>
      </c>
      <c r="F53" s="30">
        <v>6061.08</v>
      </c>
      <c r="G53" s="30">
        <v>6041.88</v>
      </c>
      <c r="H53" s="30">
        <v>6022.6</v>
      </c>
      <c r="I53" s="30">
        <v>8582.61</v>
      </c>
      <c r="J53" s="30">
        <v>6346.28</v>
      </c>
      <c r="K53" s="30">
        <v>10921.17</v>
      </c>
      <c r="L53" s="30">
        <v>9363.18</v>
      </c>
      <c r="M53" s="30">
        <v>8623.06</v>
      </c>
      <c r="N53" s="30">
        <v>8620.33</v>
      </c>
      <c r="O53" s="30">
        <v>8503.6</v>
      </c>
      <c r="P53" s="31">
        <v>9087.94</v>
      </c>
      <c r="Q53" s="43">
        <f>AVERAGE(E53:P53)</f>
        <v>7847.7141666666676</v>
      </c>
      <c r="R53" s="44">
        <f t="shared" si="1"/>
        <v>94172.57</v>
      </c>
    </row>
    <row r="54" spans="1:18" s="37" customFormat="1">
      <c r="A54" s="35"/>
      <c r="B54" s="35"/>
      <c r="C54" s="35"/>
      <c r="D54" s="35"/>
      <c r="E54" s="38"/>
      <c r="F54" s="38"/>
      <c r="G54" s="38"/>
      <c r="H54" s="38"/>
      <c r="I54" s="79"/>
      <c r="J54" s="38"/>
      <c r="K54" s="79"/>
      <c r="L54" s="38"/>
      <c r="M54" s="38"/>
      <c r="N54" s="38"/>
      <c r="O54" s="79"/>
      <c r="P54" s="38"/>
      <c r="Q54" s="79"/>
      <c r="R54" s="79"/>
    </row>
    <row r="55" spans="1:18">
      <c r="E55" s="38"/>
      <c r="F55" s="38"/>
      <c r="H55" s="38"/>
      <c r="I55" s="38"/>
      <c r="J55" s="38"/>
      <c r="K55" s="38"/>
      <c r="L55" s="38"/>
      <c r="M55" s="38"/>
      <c r="O55" s="38"/>
      <c r="P55" s="38"/>
    </row>
    <row r="56" spans="1:18">
      <c r="G56" s="38"/>
      <c r="J56" s="38"/>
      <c r="M56" s="38"/>
    </row>
    <row r="57" spans="1:18">
      <c r="I57" s="38"/>
    </row>
    <row r="58" spans="1:18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60" spans="1:18">
      <c r="I60" s="38"/>
    </row>
  </sheetData>
  <mergeCells count="4">
    <mergeCell ref="A2:A7"/>
    <mergeCell ref="A9:A19"/>
    <mergeCell ref="A24:A41"/>
    <mergeCell ref="A43:A4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37A3670FC37C43A10682DC1532EECD" ma:contentTypeVersion="0" ma:contentTypeDescription="Crear nuevo documento." ma:contentTypeScope="" ma:versionID="e7846752b075b5a02691ae438d160f9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A46924-B1F3-412F-BB34-F6BB841763D6}">
  <ds:schemaRefs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7892706-9019-4D9E-9F0A-0F68F88578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467929-6B05-48E1-B62F-BAEB1CBAA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Control Consumo R - 2011</vt:lpstr>
      <vt:lpstr>Control Consumo R - 2012</vt:lpstr>
      <vt:lpstr>Control Consumo R - 2013</vt:lpstr>
      <vt:lpstr>Control Consumo R - 2014</vt:lpstr>
      <vt:lpstr>Control Consumo R - 2015</vt:lpstr>
      <vt:lpstr>Control Consumo R - 2016</vt:lpstr>
      <vt:lpstr>Control Consumo R - 2017</vt:lpstr>
      <vt:lpstr>Control Consumo R - 2018</vt:lpstr>
      <vt:lpstr>Control Consumo R - 2019</vt:lpstr>
      <vt:lpstr>Control Consumo R - 2020</vt:lpstr>
    </vt:vector>
  </TitlesOfParts>
  <Company>Grupo Cuevas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C. Lorenzo Dávila</dc:creator>
  <cp:lastModifiedBy>luis j</cp:lastModifiedBy>
  <cp:lastPrinted>2018-11-29T10:13:00Z</cp:lastPrinted>
  <dcterms:created xsi:type="dcterms:W3CDTF">2012-05-02T14:33:41Z</dcterms:created>
  <dcterms:modified xsi:type="dcterms:W3CDTF">2020-04-07T10:41:50Z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0x010100BF37A3670FC37C43A10682DC1532EECD</vt:lpwstr>
  </property>
</Properties>
</file>